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Russo\Downloads\Exercise Database\"/>
    </mc:Choice>
  </mc:AlternateContent>
  <bookViews>
    <workbookView xWindow="0" yWindow="0" windowWidth="20490" windowHeight="7755"/>
  </bookViews>
  <sheets>
    <sheet name="Women" sheetId="2" r:id="rId1"/>
    <sheet name="Men"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6" i="2" l="1"/>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1" i="2"/>
  <c r="A190" i="2"/>
  <c r="A188" i="2"/>
  <c r="A187" i="2"/>
  <c r="A186" i="2"/>
  <c r="A185" i="2"/>
  <c r="A184" i="2"/>
  <c r="A183" i="2"/>
  <c r="A182" i="2"/>
  <c r="A181" i="2"/>
  <c r="A180" i="2"/>
  <c r="A179" i="2"/>
  <c r="A178" i="2"/>
  <c r="A177" i="2"/>
  <c r="A176" i="2"/>
  <c r="A175" i="2"/>
  <c r="A174" i="2"/>
  <c r="A173"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<sst xmlns="http://schemas.openxmlformats.org/spreadsheetml/2006/main" count="795" uniqueCount="255">
  <si>
    <t>Exercise</t>
  </si>
  <si>
    <t>Overhead Cable Tricep Extension</t>
  </si>
  <si>
    <t>Single-Arm Half-Kneeling Band Row</t>
  </si>
  <si>
    <t>Lying Dumbbell Tricep Extension</t>
  </si>
  <si>
    <t>Overhead Band Tricep Extension</t>
  </si>
  <si>
    <t>Supine Banded No Money Drill</t>
  </si>
  <si>
    <t>1. Extend one leg out. 2. Push your hips back to lengthen your adductor. 3. Keep your spine neutral.</t>
  </si>
  <si>
    <t>1. Lie face-down. 2. Tuck your tailbone under and use your abs to pull your ribs down. 3. Rotate your foot outward while moving only at the hips. Keep your lower back still and your abs tightly braced in order to stabilize your spine. 4. Place a rolled-up towel under your waist if you have discomfort in your low back.</t>
  </si>
  <si>
    <t>1. Lie face-down. 2. Tuck your tailbone under and use your abs to pull your ribs down. 3. Rotate your foot inward while moving only at the hips. Keep your lower back still and your abs tightly braced in order to stabilize your spine. 4. Place a rolled-up towel under your waist if you have discomfort in your low back.</t>
  </si>
  <si>
    <t>1. Begin by getting down on all fours. 2. Extend one leg straight out. 3. Keep your abs braced, pelvis square and tailbone tucked under. 4. Move your hips laterally without moving from your lower back.</t>
  </si>
  <si>
    <t>1. With your hands and feet on the ground and hips in the air, move your feet towards your hands until you can just get your heel to the ground. 2. Working one ankle at a time, gently lift your heel off the ground, and then rock it back down until it lightly touches. 3. Keep your abs tight and your ribs pulled down so that you don't arch your lower back.</t>
  </si>
  <si>
    <t>1. Begin in a plank position with your abs tight, ribs pulled down toward your pelvis, and tailbone tucked under. 2. Spread your shoulder blades as far apart as you can by pushing the floor away with your elbows. Keep your shoulder blades pulled downward away from your ears. 3. Lower back to the plank position while squeezing your shoulder blades together and down toward your back pockets.</t>
  </si>
  <si>
    <t>1. Lock your ribs down with your abs. 2. Tuck your tailbone between your knees. 3. Raise hips without arching your back.</t>
  </si>
  <si>
    <t>1. Hook your heels into the wall with your hamstrings. 2. Tuck your tailbone between your knees. 3. Push your lower back into the floor. 4. Exhale fully, dropping your ribs down as far as they'll go. 5. Inhale without losing the ribs-down position and repeat.</t>
  </si>
  <si>
    <t>1. This is a reciprocal movement, so the left arm and right leg move at once, and vice versa. 2. While kneeling on all-fours, exhale fully and feel your oblique abs lock your ribs down. 3. Keep your abs tightly braced to hold this ribs-down position and tuck your tailbone under. 4. While holding this position, reach your arm straight forward and your opposite leg straight behind you. 5. Keep your abs tight and do not let your ribs flare or arch your lower back as you lock out your shoulder blade and opposite-side glute.</t>
  </si>
  <si>
    <t>1. Keep your tailbone tucked under and your ribs pulled down so that your lower back doesn't arch. 2. Keep your head and neck neutral and don't arch your neck. 3. Move from the shoulder blades and go from having your palms together while overhead to having your palms up while behind your back.</t>
  </si>
  <si>
    <t>1. Keep your abs braced, chin tucked and head in line with the rest of your spine. Keep your tailbone tucked under. 2. With one hand clasped behind your head, rotate your shoulders forward. Move only at your upper back. 3. Follow your elbow with your eyes to help drive upper back movement.</t>
  </si>
  <si>
    <t>1. Begin in an all-fours position. 2. Keep your abs braced and your ribs pulled down. Keep your head in line with the rest of your spine. 3. Push your hips back until you feel a stretch.</t>
  </si>
  <si>
    <t>1. Begin in a pushup plank position with your abs tight, ribs pulled down toward your pelvis, and tailbone tucked under. 2. Spread your shoulder blades as far apart as you can by pushing the floor away with your elbows. Keep your shoulder blades pulled downward away from your ears. 3. Lower back to the plank position while squeezing your shoulder blades together and down toward your back pockets.</t>
  </si>
  <si>
    <t>1. Keep your abs braced and your ribs down so that your back doesn't arch during the movement. 2. Cross your body to the side until you feel a stretch in the side of your torso.</t>
  </si>
  <si>
    <t>1. With your upper back and the back of your head against the wall, keep your teeth together and tuck your chin back as if giving yourself double chins. 2. You should feel the deep muscles in your neck activate and a light stretch in the base of your skull.</t>
  </si>
  <si>
    <t>1. Keep your hips against the wall. 2. Keep your feet straight ahead. 3. Drive your knees outward.</t>
  </si>
  <si>
    <t>1. Get movement through the shoulder, not the spine.</t>
  </si>
  <si>
    <t>1. Keep your abs tight and your ribs down so that your back doesn't arch. 2. Bring your hands together with your palms up. 3. Move your hands outward and finish by squeezing your shoulder blades together and downward.</t>
  </si>
  <si>
    <t>1. Keep your ribs locked down by tightly bracing your abs. 2. Contract the glute on your trailing leg. 3. Drive the stick upward with your bottom-side hand, pushing it upward to stretch the pec of the upper-side arm. 4. Do not let your ribs flare or your lower back arch.</t>
  </si>
  <si>
    <t>1. Place rear foot on bench. 2. Lower to one knee. 3. Keep ribs down, tailbone tucked under and lumbar spine slightly flexed.</t>
  </si>
  <si>
    <t>1. Tuck your tailbone between your knees and press your lower back into the wall. 2. Keep the back of your head, your hands and elbows in contact with the wall, or very close to it. 3. Slide your arms up and down the wall without losing your contact points.</t>
  </si>
  <si>
    <t>1. Keep your hips square. 2. Move from the hip only.</t>
  </si>
  <si>
    <t>1. Stand on one knee 2. Loop band over rear foot. 3. Pull foot upward. 4. Keep your ribs down, tailbone tucked under and spine slightly flexed.</t>
  </si>
  <si>
    <t>1. Keep your lower ribs pulled down and reach overhead. 2. Stretch your lats out and drive your chest toward the ground. 3. Drive your heels to the ground. 4. You can move deeper into the stretch by alternately bending your knees.</t>
  </si>
  <si>
    <t>1. Keep your abs tight and your ribs down so that your back doesn't arch. 2. Bring your hands together with your palms up. 3. Pull the band apart and finish by squeezing your shoulder blades together and downward.</t>
  </si>
  <si>
    <t>1. Keep your weight rooted through your heel, your ribs down and have a slight bend in your knee. 2. Hinge forward at the hips by pushing your hips back until you feel a light stretch in your hamstring. 3. Keep your hips level - Don't roll them open. 4. At the bottom, reach across the centerline of your body towards the toes on your opposite foot. 5. Return without arching your back or flaring your ribs out.</t>
  </si>
  <si>
    <t xml:space="preserve">1. Spread your shoulder blades apart and press your forearms to the wall. 2. Slide your arms up and down the wall. 3. Keep them in contact with the wall throughout the motion. 4. Keep your shoulders down and away from your ears. Do not shrug your shoulders. 
</t>
  </si>
  <si>
    <t>1. Place the lacrosse ball into the muscle of your pec, just below your shoulder joint. 2. Shorten and lengthen the muscle by moving your arm and apply pressure to release tissue adhesions.</t>
  </si>
  <si>
    <t>1. Place the lacrosse ball into the scalene muscles just behind your collarbone, and then into the thickest part of your upper trap. 2. Shorten and lengthen the muscle by moving your head and apply pressure to release tissue adhesions.</t>
  </si>
  <si>
    <t>1. Keep your abs braced, chin tucked and head in line with the rest of your spine. Use your abs to pull your ribs down, and tuck your tailbone under so that you don't extend your lower back. 2. Your upper hip and knee should both be bent at 90 degrees. 3. Slide your arm in an arc overhead as you rotate at the upper back. Your thumb should touch the ground through almost the entire movement.</t>
  </si>
  <si>
    <t>1. Stand with your right foot just ahead of the left and lean back on the bar with all your weight on your left heel. 2. Take a deep breath through your nose, place your left arm behind your back and expand your upper back as much as possible while letting your spine round forward. 3. Focus on expanding the right side of your rib cage and feeling a good stretch in your right lat.</t>
  </si>
  <si>
    <t>1. Keep your weight on your heels with your feet pointed straight ahead. 2. Push your hips back to get into the squat position. 3. Keep your head neutral and reach one arm straight overhead while letting the other arm fall to centerline.</t>
  </si>
  <si>
    <t>1. Lower with your weight on your forward heel. 2. Don't let your hips open up at the bottom. Keep them squared forward. 3. Keep your lower back neutral by pulling your ribs down with your abs and keeping your abs tight. Don't let your back arch. 4. Drive upward with your weight rooted through the heel of your forward foot and your knee tracked straight ahead over your toes. 5. At the top of each rep, reach your arms out and rotate through your upper back towards your forward leg.</t>
  </si>
  <si>
    <t>1. Keep the heel of your planted leg on the ground, and keep it nearly locked out straight. 2. Brace the glute on the side of your planted leg and tuck your tailbone under to keep your pelvis from tilting. 3. Reach your opposite side hand towards your toes. 4. Don’t bend the leg on your planted leg, come onto your toes or slouch your spine forward.</t>
  </si>
  <si>
    <t xml:space="preserve">1. Keep the heel of your planted leg on the ground and keep that leg straight. 2. Brace the glute on the side of your planted leg to keep your pelvis from tilting. 3. Pull one knee tightly to your chest while keeping the other leg extended straight. 4. Don’t bend the leg on your planted leg, come onto your toes or slouch your spine forward. 
</t>
  </si>
  <si>
    <t xml:space="preserve">1. Keep the heel of your planted leg on the ground and keep that leg straight. Brace the glute on the side of your planted leg to keep your pelvis from tilting. 2. Pull one foot back and stretch your quad without leaning forward. 3. Keep your abs tight, your ribs down and tuck your tailbone under. 4. Don’t arch your lower back, bend the leg on your planted leg, come onto your toes or slouch your spine forward. 
</t>
  </si>
  <si>
    <t>1. Lock your ribs down with your abs. 2. Tuck your tailbone between your knees. 3. Move from the hips, not your spine. 4. Don't rotate your feet outward.</t>
  </si>
  <si>
    <t>1. Lower so that at the bottom your knees are both around 90 degrees. 2. Don't let your hips open up at the bottom. Keep them squared forward. 3. Keep your lower back neutral by pulling your ribs down with your abs and keeping your abs tight. Don't let your back arch. 4. Drive upward with your weight rooted through the heel of your forward foot. 5. Keep your knee tracked straight ahead over your toes.</t>
  </si>
  <si>
    <t>1. Lock your ribs down with your abs. 2. Tuck your tailbone between your knees. 3. Move only from the shoulder.</t>
  </si>
  <si>
    <t>1. Position your spine by locking your ribs down in an exhaled position with your abs. 2. Keep your tailbone tucked under and your ribs pulled down throughout the movement. 3. Walk your hands out to stretch out as far as you can without losing tension in your abs. 4. Stop before your back arches and return.</t>
  </si>
  <si>
    <t xml:space="preserve">1. Step slightly to the outside with your forward leg to make room for your elbow. 2. Keep your weight through your forward heel. 3. Keep your chest high and contract the glute on your trailing leg to get a good stretch in your hip flexor. 4. Keep your neck in line with the rest of your spine. 5. Slowly drive your hips forward to deepen the stretch. 
</t>
  </si>
  <si>
    <t>1. Lower with your weight on your forward heel. 2. Don't let your hips open up at the bottom. Keep them squared forward. 3. Keep your lower back neutral by pulling your ribs down with your abs and keeping your abs tight. Don't let your back arch. 4. At the bottom position, rotate your shoulders toward your forward knee. 5. Drive upward with your weight rooted through the heel of your forward foot. 6. Keep your knee tracked straight ahead over your toes.</t>
  </si>
  <si>
    <t>1. Lower with your weight on your forward heel. 2. Don't let your hips open up at the bottom. Keep them squared forward. 3. Keep your lower back neutral by pulling your ribs down with your abs and keeping your abs tight. Don't let your back arch. 4. At the bottom position, put your arms overhead (without arching your back) and rotate your shoulders toward your forward knee. 5. Drive upward with your weight rooted through the heel of your forward foot. 6. Keep your knee tracked straight ahead over your toes.</t>
  </si>
  <si>
    <t>1. Step slightly to the outside with your forward leg to make room for your elbow. 2. Keep your weight through your forward heel. 3. Keep your chest high and contract the glute on your trailing leg to get a good stretch in your hip flexor. 4. Keep your neck in line with the rest of your spine. 5. Slowly drive your hips forward to deepen the stretch. 6. Lift your hips upward.</t>
  </si>
  <si>
    <t>1. Step slightly to the outside with your forward leg to make room for your elbow. 2. Keep your weight through your forward heel. 3. Keep your chest high and contract the glute on your trailing leg to get a good stretch in your hip flexor. 4. Keep your neck in line with the rest of your spine. 5. Slowly drive your hips forward to deepen the stretch, then reach overhead.</t>
  </si>
  <si>
    <t>1. Step slightly to the outside with your forward leg to make room for your elbow. 2. Keep your weight through your forward heel. 3. Keep your chest high and contract the glute on your trailing leg to get a good stretch in your hip flexor. 4. Keep your neck in line with the rest of your spine. 5. Slowly drive your hips forward to deepen the stretch, then reach overhead. 6. Lift your hips upward.</t>
  </si>
  <si>
    <t>1. Lock your ribs down with your abs. 2. Tuck your tailbone between your knees. 3. Do not let your lower back sag.</t>
  </si>
  <si>
    <t>1. Lock your ribs down with your abs. 2. Tuck your tailbone between your knees. 3. Do not let your lower back sag. 4. Move your elbows without losing your positioning.</t>
  </si>
  <si>
    <t>1. Position your spine by locking your ribs down in an exhaled position with your abs. 2. Keep your tailbone tucked under and your ribs pulled down throughout the movement. 3. Roll your arms out in front of you as far as you can without losing tension in your abs. 4. Stop before your back arches and return.</t>
  </si>
  <si>
    <t>1. Lock your ribs down with your abs. 2. Tuck your tailbone between your knees. 3. Do not let your lower back sag. 4. Move without losing your positioning.</t>
  </si>
  <si>
    <t>1. Position your spine by locking your ribs down in an exhaled position with your abs. 2. Keep your tailbone tucked under and your ribs pulled down throughout the movement. 3. Alternate from a side plank to a center plank without losing your ribs-down positioning, arching your back or rolling your pelvis out of line with your shoulders.</t>
  </si>
  <si>
    <t>1. Position your spine by locking your ribs down in an exhaled position with your abs. 2. Keep your tailbone tucked under and your ribs pulled down throughout the movement. 3. Hold for the allotted time.</t>
  </si>
  <si>
    <t xml:space="preserve">1. Your body should form a straight line, from heels to head. Keep your abs and glutes braced and your tailbone tucked under. Your abs should be pulling your ribs downward toward your pelvis 2. Begin by raising your top leg and lowering it back under control to help set your spine and pelvis. 3. Your elbow should be directly under your shoulder. Keep your head in line with the rest of your spine. 4. Pull the weight with your shoulder blade and finish with your shoulder blade squeezed inward and down. 5. Don’t let your hips sag, or tilt your head. Don’t push your hips back or rotate your shoulders forward. 
</t>
  </si>
  <si>
    <t xml:space="preserve">1. Start in a tall position with your chest high and both knees down. 2. Pull your ribs down by tightly bracing your abs in an exhaled position and tuck your tailbone under. 3. Press overhead without losing your spinal position. 
</t>
  </si>
  <si>
    <t xml:space="preserve">1. Engage your abs to pull your ribs downward. Tuck your tailbone under. 2. Press overhead while moving only your arms. Keep your shoulders pulled down away from your ears so that you don't shrug. 3. Don’t arch your lower back or flare your ribs out. Don't let the band pull you to the side.
</t>
  </si>
  <si>
    <t>1. Position your spine by locking your ribs down in an exhaled position with your abs. 2. Keep your tailbone tucked under and your ribs pulled down throughout the movement. 3. While keeping your toes pointed forward and your hips square, raise your top-side foot as far up the wall as you can. 4. Don't let your toes rotate upward to the ceiling, roll your hips back or arch your lower back.</t>
  </si>
  <si>
    <t>1. Start in a tall position with your chest high and a 90° angle at both knees. 2. Squeeze the glute of your down knee and tuck your tailbone under. Your pelvis should be squared and level. 3. Brace your abs to pull your lower ribs down. 4. Keep your knee out over your little toe as you chop the cable down with your arms.</t>
  </si>
  <si>
    <t>1. Start in a tall position with your chest high and a 90° angle at both knees. 2. Squeeze the glute of your down knee and tuck your tailbone under. Your pelvis should be squared and level. 3. Brace your abs to pull your lower ribs down. 4. Hold your arms out in front of you for the allotted time while keeping your knee out over your little toe, your ribs down and your tailbone tucked under.</t>
  </si>
  <si>
    <t>1. Position your spine by locking your ribs down in an exhaled position with your abs. 2. Keep your tailbone tucked under and your abs tight throughout the movement. 3. Press your hands outward without letting your hips rotate, your ribs flare out or arching your lower back.</t>
  </si>
  <si>
    <t>1. Position your spine by locking your ribs down in an exhaled position with your abs. 2. Keep your tailbone tucked under and your abs tight throughout the movement. 3. Press your hands outward without letting your hips rotate, your ribs flare out or arching your lower back. 4. Hold for the allotted time.</t>
  </si>
  <si>
    <t xml:space="preserve">1. Start in a tall position with your chest high and both knees down. 2. Pull your ribs down by tightly bracing your abs in an exhaled position and tuck your tailbone under. 3. Press your hands out without losing your spinal position. 
</t>
  </si>
  <si>
    <t>1. Start in a tall position with your chest high and both knees down. 2. Pull your ribs down by tightly bracing your abs in an exhaled position and tuck your tailbone under. 3. Press your hands out without losing your spinal position. 4. Hold for the allotted time.</t>
  </si>
  <si>
    <t xml:space="preserve">1. Keep your toes pointed up and heels pulled tight to your hamstrings. 2. Exhale your ribs downward toward your pelvis and try to keep them in this position. 3. Bring your knees to your shoulders by pulling your pelvis forward. 4. Pull slowly and under control, and return to neutral starting point before each rep. Keep your head down. 5. Don’t use momentum or jerk your head up. 
</t>
  </si>
  <si>
    <t>1. Exhale completely while tucking your tailbone under so that your ribs lock downward as far as they'll go. 2. Inhale partially while maintaing tightly braced abs in order to keep your ribs down. 3. Keep your tailbone tucked under and the front of your pelvis pulled towards your chest as you lift off the bench. 4. Do not let your lower back arch at all.</t>
  </si>
  <si>
    <t>1. Keep your arm vertical throughout the movement, and keep your eyes on your hand. 2. Move from elbow, to your hand, to a bridge position. 3. Move to your knee. 4. "Windshield wiper" your leg underneath to a lunge position. 5. With your weight on your forward heel and your ribs down, stand up to the top of the lunge. 6. "Ski" your trailing foot back and reverse the movement to return to the ground.</t>
  </si>
  <si>
    <t>1. Pull your ribs downward with your abs and hold them there. 2. Roll the front of your pelvis towards your ribs. 3. Press your lower back into the floor. 4. Don't lose that position as you move your arms and legs.</t>
  </si>
  <si>
    <t>1. Pull your ribs downward with your abs and hold them there. 2. Roll the front of your pelvis towards your ribs. 3. Press your lower back into the floor. 4. Don't lose that position as you move your legs.</t>
  </si>
  <si>
    <t>1. Pull your ribs downward with your abs and hold them there. 2. Roll the front of your pelvis towards your ribs. 3. Press your lower back into the floor. 4. Don't lose that position as you cycle your legs.</t>
  </si>
  <si>
    <t>1. Keep your arm vertical throughout the movement, and keep your eyes on the weight. 2. Move from elbow, to your hand, to a bridge position. 3. Reverse the motion to return to your back.</t>
  </si>
  <si>
    <t>1. Position your spine by locking your ribs down in an exhaled position with your abs. 2. Keep your tailbone tucked under and your abs tight throughout the movement. 3. Press your hands outward without letting your hips rotate, your ribs flare out or arching your lower back. 4. Continue to hold good positioning while pressing overhead.</t>
  </si>
  <si>
    <t>1. Lock your ribs down with your abs. 2. Tuck your tailbone between your knees. 3. Do not let your lower back sag. 4. Move your arms alternately without arching your back, flaring your ribs or rolling your hips.</t>
  </si>
  <si>
    <t>1. Lock your ribs down with your abs. 2. Tuck your tailbone between your knees. 3. Do not let your lower back sag or rotate your hips.</t>
  </si>
  <si>
    <t>1. Keep your heel down. 2. Keep your knee pointed straight ahead over your toes. 3. Only lower as far as you comfortably can. 4. Raise your arms overhead at the bottom without arching your lower back.</t>
  </si>
  <si>
    <t>1. Lock your ribs down with your abs. 2. Tuck your tailbone between your knees. 3. Do not let your lower back sag. 4. Move your arms without arching your back, flaring your ribs or rolling your hips.</t>
  </si>
  <si>
    <t>1. Keep your arm vertical throughout the movement, and keep your eyes on the weight. 2. Move from elbow, to your hand, to a bridge position. 3. Move to your knee. 4. "Windshield wiper" your leg underneath to a lunge position. 5. With your weight on your forward heel and your ribs down, stand up to the top of the lunge. 6. "Ski" your trailing foot back and reverse the movement to return to the ground.</t>
  </si>
  <si>
    <t>1. Begin with your abs tight and your ribs pulled down. Keep your tailbone tucked underneath you and your shoulders back. 2. Carry the weight with tightly braced abs while keeping your shoulders back and your head neutral. 3. Press the weight straight out and return it to your chest at regular intervals without losing your spinal position. 4. Don't slouch or let the weight pull you to the side.</t>
  </si>
  <si>
    <t xml:space="preserve">1. Start in a tall position with your chest high and a 90° angle at both knees. 2. Squeeze the glute of your down knee and tuck your tailbone under. Your pelvis should be squared and level. 3. Brace your abs to pull your lower ribs down. 4. Keep your knee out over your little toe as you chop the band down with your arms. 
</t>
  </si>
  <si>
    <t xml:space="preserve">1. Start in a tall position with your chest high and both knees down. 2. Pull your ribs down by tightly bracing your abs in an exhaled position and tuck your tailbone under. 3. Chop the band down with your arms while moving from the shoulders only. 
</t>
  </si>
  <si>
    <t xml:space="preserve">1. Start in a tall position with your chest high and both knees down. 2. Pull your ribs down by tightly bracing your abs in an exhaled position and tuck your tailbone under. 3. Raise your arms up and across your body without losing your spinal position. 
</t>
  </si>
  <si>
    <t xml:space="preserve">1. Start in a tall position with your chest high and both knees down. 2. Pull your ribs down by tightly bracing your abs in an exhaled position and tuck your tailbone under. 3. Chop the cable down with your arms while moving from the shoulders only. 
</t>
  </si>
  <si>
    <t>1. Keep your shoulder blades packed tightly together and down at the bottom of each rep. 2. Only lower as far as you can without popping your shoulder capsule forward or losing stability, then press back up.</t>
  </si>
  <si>
    <t>1. Keep your shoulder blades packed tightly together and down at the bottom of each rep. 2. Press upward.</t>
  </si>
  <si>
    <t>1. Keep your abs locked tightly to prevent spinal rotation. 2. Keep your shoulder blades packed tightly inward and down at the bottom of each rep. 3. Only lower as far as you can without popping your shoulder capsule forward or losing stability, then press back up.</t>
  </si>
  <si>
    <t>1. Only lower as far down as you can without your shoulders popping forward. 2. Squeeze your shoulder blades together and downward at the bottom of the rep. 3. Keep your abs tight and your ribs pulled down so that your lower back doesn't arch. 4. Finish by spreading your shoulder blades apart, with your shoulders pulled down away from your ears.</t>
  </si>
  <si>
    <t>1. Only lower as far down as you can without your shoulders popping forward. 2. Squeeze your shoulder blades together and downward at the bottom of the rep. 3. Keep your abs tight and your ribs pulled down so that your lower back doesn't arch. 4. Finish the pushup and then reach one hand over to the opposite shoulder without arching your back, flaring your ribs or rotating your hips.</t>
  </si>
  <si>
    <t>1. Only lower as far down as you can without your shoulders popping forward, and don't go further than halfway down. 2. Keep your shoulder blades pulled downward toward your back pockets. 3. Keep your abs tight, your ribs pulled down and your tailbone tucked under so that your lower back doesn't arch. 4. Push up and finish by spreading your shoulder blades apart, with your shoulders pulled down away from your ears.</t>
  </si>
  <si>
    <t>1. Only lower as far down as you can without your shoulders popping forward. 2. Squeeze your shoulder blades together and downward at the bottom of the rep and hold this position for the allotted time. 3. Keep your abs tight and your ribs pulled down so that your lower back doesn't arch. 4. Finish by spreading your shoulder blades apart, with your shoulders pulled down away from your ears.</t>
  </si>
  <si>
    <t>1. Only lower as far down as you can without your shoulders popping forward. 2. Squeeze your shoulder blades together and downward at the bottom of the rep. 3. Keep your abs tight and your ribs pulled down so that your lower back doesn't arch. 4. Finish by spreading your shoulder blades apart, with your shoulders pulled down away from your ears. 5. Don't let your hips or spine rotate during the movement.</t>
  </si>
  <si>
    <t>1. Only lower as far down as you can without your shoulders popping forward, then stop and hold for the prescribed time. 2. Squeeze your shoulder blades together and downward at the bottom of the rep. 3. Keep your abs tight and your ribs pulled down so that your lower back doesn't arch. 4. Don't let your hips or spine rotate during the movement.</t>
  </si>
  <si>
    <t>1. Only lower as far down as you can without your shoulders popping forward. 2. Squeeze your shoulder blades together and downward at the bottom of the rep. 3. Keep your abs tight and your ribs pulled down so that your lower back doesn't arch. 4. Finish the pushup by spreading your shoulder blades apart, with your shoulders pulled down away from your ears. 5. Row one weight toward your lower ribs without arching your back or rocking your hips. 6. Finish the row with your shoulder blade packed tightly inward and down and then return the weight to the ground and do a row on the opposite side.</t>
  </si>
  <si>
    <t>1. Only lower as far down as you can without your shoulders popping forward. 2. Squeeze your shoulder blades together and downward at the bottom of the rep. 3. Keep your abs tight and your ribs pulled down so that your lower back doesn't arch. 4. Finish by spreading your shoulder blades apart, with your shoulders pulled down away from your ears. 5. Don't let your spine rotate or tilt to the side throughout the movement.</t>
  </si>
  <si>
    <t>1. Lower into the pushup by squeezing your shoulder blades together and down into your back pockets, keeping your elbows tucked in and pulling one knee towards your elbow. 2. Push back up and spread your shoulder blades apart while keeping them pulled downward toward your back pockets. 3. Keep your abs tight and tailbone tucked under throughout the movement.</t>
  </si>
  <si>
    <t xml:space="preserve">1. Keep your spine neutral, abs and glutes braced and hands shoulder-width apart. 2. Lower into the pushup by squeezing your shoulder blades together and down while keeping your elbows tucked in. 3. Press to the up position and reach one hand towards the ceiling while keeping your abs and glutes contracted.
</t>
  </si>
  <si>
    <t>1. Only lower as far down as you can without your shoulders popping forward. 2. Squeeze your shoulder blades together and downward at the bottom of the rep. 3. Keep your abs tight and your ribs pulled down so that your lower back doesn't arch. 4. Finish by pushing upward explosively so that your hands leave the ground.</t>
  </si>
  <si>
    <t>1. Position your knees so that they are both at 90 degrees. 2. Keep your trailing hip fully extended. 3. Keep your ribs down, abs tight and tailbone tucked between your knees. 4. Press the band forward, finishing with your shoulder blade spread outward and your hand pushed as far forward as you can. 5. Don't let your back arch or lose your hip and knee position as you press. 6. Return by pulling your shoulder blade inward and down as your hand comes back.</t>
  </si>
  <si>
    <t>1. Position your knees so that they are both at 90 degrees. 2. Keep your trailing hip fully extended. 3. Keep your ribs down, abs tight and tailbone tucked between your knees. 4. Press the cable forward, finishing with your shoulder blade spread outward and your hand pushed as far forward as you can. 5. Don't let your back arch or lose your hip and knee position as you press. 6. Return by pulling your shoulder blade inward and down as your hand comes back.</t>
  </si>
  <si>
    <t>1. The band goes in the hand on the same side as your trailing leg. 2. Keep your trailing hip fully extended. 3. Keep your ribs down, abs tight and tailbone tucked between your knees. 4. Press the band forward, finishing with your shoulder blade spread outward and your hand pushed as far forward as you can. 5. Don't let your back arch or lose your hip and knee position as you press. 6. Return by pulling your shoulder blade inward and down as your hand comes back.</t>
  </si>
  <si>
    <t>1. The cable goes in the hand on the same side as your trailing leg. 2. Keep your trailing hip fully extended. 3. Keep your ribs down, abs tight and tailbone tucked between your knees. 4. Press the handle forward, finishing with your shoulder blade spread outward and your hand pushed as far forward as you can. 5. Don't let your back arch or lose your hip and knee position as you press. 6. Return by pulling your shoulder blade inward and down as your hand comes back.</t>
  </si>
  <si>
    <t>1. Keep your abs tight and ribs pulled down to stabilize your spine. 2. Press the weights overhead without arching your back or flaring your ribs out. 3. Keep your shoulders pulled downward away from your ears to avoid shrugging.</t>
  </si>
  <si>
    <t>1. Keep your abs tight and ribs pulled down to stabilize your spine. 2. Dip your knees slightly while keeping your weight on your heels and drive upward. 3. Use the momentum to assist as you lock the weights overhead without arching your back.</t>
  </si>
  <si>
    <t>1. Keep your abs tightly braced and your ribs down so that your back doesn't arch. 2. Shrug the weights upward.</t>
  </si>
  <si>
    <t>1. Keep your abs tightly braced and your ribs down so that your back doesn't arch. 2. Shrug the bar upward.</t>
  </si>
  <si>
    <t>1. Keep your abs tight and ribs pulled down to stabilize your spine. 2. Dip your knees slightly while keeping your weight on your heels and drive upward. 3. Use the momentum to assist as you lock the bar overhead without arching your back.</t>
  </si>
  <si>
    <t>1. Fully extend your arms and let your shoulder blades spread apart at the bottom. 2. Pull the bar to the lower part of your ribcage. 3. Finish the motion with your shoulder blades squeezed fully together and down and your elbows just behind your ribs. 4. Don't let your shoulders pop forward at the finish.</t>
  </si>
  <si>
    <t>1. Fully extend your arms and let your shoulder blades spread at the start of the movement. 2. Keep your ribs locked downward by tightly bracing your abs in order to prevent your lower back from arching. 2. Pull the band to your chest. 3. Finish the motion with your shoulder blades squeezed fully together and down and your elbows just behind your ribs. 4. Don't let your shoulders pop forward or your ribs to flare upward or out at the finish.</t>
  </si>
  <si>
    <t>1. The band goes in your hand on the same side as your forward knee. 2. Keep your trailing hip fully extended. 3. Keep your ribs down, abs tight and tailbone tucked between your knees. 4. Pull the band back, finishing with your shoulder blade locked inward and down. 5. Don't let your shoulder capsule shift forward at the finish of the movement.</t>
  </si>
  <si>
    <t>1. Keep your ribs down and abs tight so that you don't arch your lower back too much. 2. Pull the weight back, finishing with your shoulder blade locked inward and down. 3. Don't let your shoulder capsule shift forward at the finish of the movement. 4. Let your shoulder blade stretch forward as you lower the weight.</t>
  </si>
  <si>
    <t>1. Keep your ribs down and your abs tight so that your lower back doesn't arch excessively. 2. Pull the weight towards your lower ribs, finishing with your shoulder blade locked inward and down. 3. Don't let your shoulder capsule shift forward at the finish of the movement.</t>
  </si>
  <si>
    <t>1. Lock your ribs down with your abs. 2. Tuck your tailbone between your knees. 3. Do not let your lower back sag. 4. Row one weight toward your lower ribs without arching your back or rocking your hips. 6. Finish the row with your shoulder blade packed tightly inward and down and then return the weight to the ground and do a row on the opposite side.</t>
  </si>
  <si>
    <t>1. Fully extend your arms and let your shoulder blades spread at the start of the movement. 2. Keep your ribs locked downward by tightly bracing your abs in order to prevent your lower back from arching. 2. Pull the bar to your chest. 3. Finish the motion with your shoulder blades squeezed fully together and down and your elbows just behind your ribs. 4. Don't let your shoulders pop forward or your ribs to flare upward or out at the finish.</t>
  </si>
  <si>
    <t>1. Fully extend your arms and let your shoulder blades spread at the start of the movement. 2. Keep your ribs locked downward by tightly bracing your abs in order to prevent your lower back from arching. 2. Pull the handle to your chest. 3. Finish the motion with your shoulder blades squeezed fully together and down and your elbows just behind your ribs. 4. Don't let your shoulders pop forward or your ribs to flare upward or out at the finish.</t>
  </si>
  <si>
    <t>1. The cable goes in your hand on the same side as your forward knee. 2. Keep your trailing hip fully extended. 3. Keep your ribs down, abs tight and tailbone tucked between your knees. 4. Pull the cable back, finishing with your shoulder blade locked inward and down. 5. Don't let your shoulder capsule shift forward at the finish of the movement.</t>
  </si>
  <si>
    <t>1. Keep your ribs down, abs tight and tailbone tucked between your knees. 2. Allow your shoulder blades to spread apart at the bottom. 3. Pull your lower ribs to the bar, finishing with your shoulder blades locked inward and down. 4. Don't let your shoulder capsules shift forward at the finish of the movement.</t>
  </si>
  <si>
    <t>1. Keep your ribs down and your abs tight so that your lower back doesn't arch excessively. 2. Push your hips back to get into position, with your weight mostly on your heels and your toes gripping the floor. 3. Pull the weight towards your lower ribs, finishing with your shoulder blades locked inward and down. 3. Don't let your shoulder capsules shift forward at the finish of the movement.</t>
  </si>
  <si>
    <t>1. Keep your ribs down, abs tight and tailbone tucked between your knees. 2. Allow your shoulder blades to spread apart at the bottom. 3. Pull your lower ribs to the bar, finishing with your shoulder blade locked inward and down. 4. Don't let your shoulder capsule shift forward at the finish of the movement.</t>
  </si>
  <si>
    <t>1. Fully extend your arms and let your shoulder blades spread at the bottom. 2. Pull the bar to your chest. 3. Finish the motion with your shoulder blades squeezed fully together and down and your elbows just behind your ribs. 4. Don't let your shoulders pop forward at the finish.</t>
  </si>
  <si>
    <t>1. Fully extend your arms and let your shoulder blades spread at the start. 2. Pull your hands to your chest. 3. Finish the motion with your shoulder blades squeezed fully together and down and your elbows just behind your ribs. 4. Don't let your shoulders pop forward at the finish.</t>
  </si>
  <si>
    <t>1. Start in a tall position with your chest high and a 90° angle at both knees. 2. Squeeze the glute of your down knee and tuck your tailbone under. Your pelvis should be squared and level. 3. Brace your abs to pull your lower ribs down. 4. Keep your knee out over your little toe as you pull the band downward toward your chest. 5. Finish with your shoulder blade locked inward and down toward your back pocket.</t>
  </si>
  <si>
    <t>1. Keep your ribs down, abs tight and tailbone tucked between your knees. 2. Allow your shoulder blades to spread apart at the beginning as you cross your arms over. 3. Pull your hands back to your lower ribs, finishing with your shoulder blades locked inward and down. 4. Don't let your shoulder capsules shift forward at the finish of the movement.</t>
  </si>
  <si>
    <t>1. Jump or step up to the top of the bar. 2. Pull the bar to your chest with your shoulder blades squeezed fully together and down and your elbows just behind your ribs. 3. Don't let your shoulders pop forward. 4. Slowly lower down.</t>
  </si>
  <si>
    <t>1. Keep your heel down. 2. Keep your knee pointed straight ahead over your toes. 3. Only lower as far as you comfortably can.</t>
  </si>
  <si>
    <t>1. Lock your ribs down with your abs. 2. Keep your feet straight ahead. 3. Push your hips back onto the box. 4. Keep your knees straight out over your toes.</t>
  </si>
  <si>
    <t>1. Lock your ribs down with your abs. 2. Keep your feet straight ahead. 3. Tuck yor tailbone and squat straight down. 4. Keep your knees straight out over your toes.</t>
  </si>
  <si>
    <t>1. Begin with your abs tightly braced and your ribs pulled downward. Think of tucking your tailbone between your knees to keep your lower back from arching too much. 2. Lower down with your weight in your heels, your feet forward, your knees straight over your little toes and abs braced. 3. Squat upward while maintaining good positioning with your knees straight forward, neutral spine, weight through heels. 4. Don't arch your lower back at the top.</t>
  </si>
  <si>
    <t>1. Set up tightly in the bottom position with your weight in your heels, your feet straight forward, your knees straight over your little toes and abs braced. 3. Squat upward while maintaining good positioning (knees straight forward, neutral spine, weight through heels.</t>
  </si>
  <si>
    <t>1. Set the bar at a height that allows you to get into a strong, stable bottom position. 2. Set up tightly in the bottom position with your weight in your heels, your feet straight forward, your knees straight over your little toes and abs braced. 3. Drive the bar upward while maintaining good positioning (knees straight forward, neutral spine, weight through heels.</t>
  </si>
  <si>
    <t>1. Keep your abs tightly braced in order to keep your ribs down. 2. Hold the position with good bracing so that your lower back doesn't arch.</t>
  </si>
  <si>
    <t>1. Lower so that at the bottom your knees are both around 90 degrees. 2. Don't let your hips open up at the bottom. Keep them squared forward. 3. Keep your lower back neutral by pulling your ribs down with your abs and keeping your abs tight. Don't let your back arch. 4. Drive upward with your weight rooted through the heel of your forward foot. Only pull on the object in front of you with enough force to stay balanced. 5. Keep your knee tracked straight ahead over your toes.</t>
  </si>
  <si>
    <t>1. Lower with your weight on your forward heel. 2. Don't let your hips open up at the bottom. Keep them squared forward. 3. Keep your lower back neutral by pulling your ribs down with your abs and keeping your abs tight. Don't let your back arch. 4. Drive upward with your weight rooted through the heel of your forward foot. 5. Keep your knee tracked straight ahead over your toes.</t>
  </si>
  <si>
    <t>1. Block your knee so that it doesn't track forward past the middle of your foot. 2. Lower with your weight on your forward heel. 3. Don't let your hips open up at the bottom. Keep them squared forward. 4. Keep your lower back neutral by pulling your ribs down with your abs and keeping your abs tight. Don't let your back arch. 5. Drive upward with your weight rooted through the heel of your forward foot. 6. Keep your knee tracked straight ahead over your toes.</t>
  </si>
  <si>
    <t>1. Lock your ribs down with your abs. 2. Keep your pelvis square. 3. Keep your weight through your forward heel. 4. Forward knee and bottom knee should be at 90 degrees at the bottom.</t>
  </si>
  <si>
    <t>1. The lighter of the two dumbbells goes in the hand on the same side as your forward leg. 2. Lower with your weight on your forward heel. 3. Don't let your hips open up at the bottom. Keep them squared forward. 4. Keep your lower back neutral by pulling your ribs down with your abs and keeping your abs tight. Don't let your back arch. 5. Drive upward with your weight rooted through the heel of your forward foot. 6. Keep your knee tracked straight ahead over your toes.</t>
  </si>
  <si>
    <t>1. The dumbbell goes on the same side as your trailing leg. 2. Lower with your weight on your forward heel. 3. Don't let your hips open up at the bottom. Keep them squared forward. 4. Keep your lower back neutral by pulling your ribs down with your abs and keeping your abs tight. Don't let your back arch. 5. Drive upward with your weight rooted through the heel of your forward foot. 6. Keep your knee tracked straight ahead over your toes.</t>
  </si>
  <si>
    <t>1. The dumbbell goes on the same side as your trailing leg. 2. Lower with your weight on your forward heel. 3. Don't let your hips open up at the bottom. Keep them squared forward. 4. Keep your lower back neutral by pulling your ribs down with your abs and keeping your abs tight. Don't let your back arch. 5. Both of your knees should be at about 90 degrees at the bottom. 6. Drive upward with your weight rooted through the heel of your forward foot. 7. Keep your knee tracked straight ahead over your toes.</t>
  </si>
  <si>
    <t>1. Keep your heel down. 2. Keep your knee pointed straight ahead over your toes. 3. Only lower as far as you comfortably can. 4. Alternate sides with each rep.</t>
  </si>
  <si>
    <t>1. Lower with your weight on your forward heel. 2. Don't let your hips open up at the bottom. Keep them squared forward. 3. Keep your lower back neutral by pulling your ribs down with your abs and keeping your abs tight. Don't let your back arch. 4. Drive upward with your weight rooted through the heel of your forward foot. 5. Keep your knee tracked straight ahead over your toes. 6. After the lunge, hinge forward at the hips by pushing your hips back without rolling them open. 7. Keep your ribs down and don't arch your back. 8. Stop when you get a slight stretch in your hamstring, then return to the start.</t>
  </si>
  <si>
    <t>1. Keep your ribs down and don't arch your back as you're moving. 2. Step onto the box while keeping your hips square. 3. Keep your weight rooted through your heel - Don't come up onto your toes. 4. Step up without rotating your hips open or arching your back. 5. Keep your knee tracking straight over your toes the whole time - don't let it collapse inward.</t>
  </si>
  <si>
    <t xml:space="preserve">1. Keep your weight rooted through your heel with your toes gripping the floor. 2. Keep your foot straight ahead and your knee pushed slightly outward. 3. Lower onto the box without letting your knee collapse inward or shifting your weight to your toes. 
</t>
  </si>
  <si>
    <t xml:space="preserve">1. Keep your weight rooted through your heel with your toes gripping the floor. 2. Keep your foot straight ahead and your knee pushed slightly outward. 3. Lower onto the box without letting your knee collapse inward or shifting your weight to your toes and then squat back up. 4. Don't arch your lower back at the finish,
</t>
  </si>
  <si>
    <t>1. Keep your ribs down and don't arch your back as you're moving. 2. Step across your body while keeping your hips square. 3. Keep your weight rooted through your heel - Don't come up onto your toes. 4. Step up without rotating your hips open or arching your back.</t>
  </si>
  <si>
    <t>1. Keep your ribs pulled down and your abs tight so that your lower back doesn't arch. 2. Drive through your heels and raise your hips upward. 3. Keep your tailbone tucked between your knees to align your pelvis and spine.</t>
  </si>
  <si>
    <t>1. Keep your abs tightly braced, your tailbone tucked under and your ribs down. 2. Pack your shoulder blades together and down towards your back pockets. 3. Root your heels through the floor. 4. Pull your foot towards your hip and finish the movement by tightly squeezing your glute while bracing your abs.</t>
  </si>
  <si>
    <t>1. Keep your abs tightly braced, your tailbone tucked under and your ribs down. 2. Pack your shoulder blades together and down towards your back pockets. 3. Root your heels through the floor. 4. Pull your feet towards your hip and finish the movement by tightly squeezing your glutes while bracing your abs and keeping your tailbone tucked under.</t>
  </si>
  <si>
    <t>1. Pull your ribs down with your abs. 2. Push your hips back to lower down. 3. Keep your hips square. Don't rotate them open.</t>
  </si>
  <si>
    <t>1. Lower so that at the bottom your knees are both around 90 degrees. 2. Don't let your hips open up at the bottom. Keep them squared forward. 3. Drive through your forward heel as you jump, and keep your knee tracked over your toes.</t>
  </si>
  <si>
    <t>1. Curl the weight without letting your shoulders pop forward. 2. Don't arch your lower back.</t>
  </si>
  <si>
    <t>1. Curl the band without letting your shoulders pop forward. 2. Don't arch your lower back.</t>
  </si>
  <si>
    <t>1. Grip the weight tightly with your thumb on the lipped side of the weight, and curl it.</t>
  </si>
  <si>
    <t>1. Keep your shoulder blades squeezed backward and down. 2. Press down without letting your shoulders pop forward during the press. 3. Keep your abs tight and your ribs pulled down so that your ribs don't flare out as you return upward.</t>
  </si>
  <si>
    <t xml:space="preserve">1. Brace your abs and keep your ribs down. 2. Keep your upper arms still while you lower the weight towards your head. 3. Roll the weights to a bench press position and then press back up while keeping your elbow close to your body. 
</t>
  </si>
  <si>
    <t>1. Engage your abs to pull your ribs downward. Tuck your tailbone under. 2. Press overhead while moving only at your elbow, and keeping your elbow near your ear. 3. Keep your shoulder pulled down away from your ears so that you don't shrug. 4. Don’t arch your lower back or flare your ribs out.</t>
  </si>
  <si>
    <t>1. Engage your abs to pull your ribs downward. Tuck your tailbone under. 2. Press overhead while moving only at your elbows, and keeping your elbows near your ears. 3. Keep your shoulders pulled down away from your ears so that you don't shrug. 4. Don’t arch your lower back or flare your ribs out.</t>
  </si>
  <si>
    <t xml:space="preserve">1. Brace your abs and keep your ribs down. 2. Keep your upper arm still while you lower the weight towards your head. 3. Press back up while keeping your elbows close to your body. 
</t>
  </si>
  <si>
    <t xml:space="preserve">1. Brace your abs and keep your ribs down. 2. Keep your upper arm still while you lower the weight towards your head. 3. Roll the weight to a bench press position and then press back up while keeping your elbow close to your body. 
</t>
  </si>
  <si>
    <t>1. Keep your shoulder blades pulled downward away from your ears throughout the movement. 2. Let your shoulder blades spread apart with your hands in front of your body. 3. Finish the rep by squeezing your shoulder blades together as you pull the band apart.</t>
  </si>
  <si>
    <t>1. Keep your shoulder blade pulled inward and down towards your back pockets. 2. Move only from the upper arm.</t>
  </si>
  <si>
    <t>1. Let your shoulder blades spread apart when your arms are forward. 2. Pull the band towards your face and finish with your thumbs pointed upward and your shoulder blades squeezed together and downward. 3. Don't arch your back or let your ribs flare out during the movement.</t>
  </si>
  <si>
    <t>1. Start with your shoulder blades shrugged downward and squeezed together. 2. While keeping your shoulder blades down away from your ears, spread them apart as far as you can.</t>
  </si>
  <si>
    <t>1. This is four separate movements, each done for reps. 2. Focus on keeping your abs braced and your ribs down throughout the movements.</t>
  </si>
  <si>
    <t>1. While keeping your elbow slightly elevated and locked at 90 degrees, rotate your upper arm. 2. Ensure the movement comes from the upper arm. Don’t try to pull back with your shoulder blade or allow your ribs to flare at the finish.</t>
  </si>
  <si>
    <t>1. Keep your shoulder blades pulled downward away from your ears throughout the movement. 2. Let your shoulder blade spread outward as you move your hand out in front of your body. 3. Finish the rep by squeezing your shoulder blades together as you pull the band back.</t>
  </si>
  <si>
    <t>1. Let your shoulder blades spread apart when your arms are forward. 2. Pull towards your face and finish with your thumb pointed upward and your shoulder blades squeezed together and downward. 3. Don't arch your back, rotate your spine or let your ribs flare out during the movement.</t>
  </si>
  <si>
    <t>1. Keep your abs tight and your ribs pulled down so that your lower back doesn't arch. 2 Squeeze your shoulder blades together and down at the bottom. 3. Finish by spreading your shoulder blades apart, with your shoulders pulled down away from your ears.</t>
  </si>
  <si>
    <t>1. Lay on your back with your knees bent and your lower back pressed into the floor. Keep your abs tight and your ribs down so that your back doesn't arch. 2. Bring your hands together with your palms up. 3. Move your hands outward and finish by squeezing your shoulder blades together and downward.</t>
  </si>
  <si>
    <t xml:space="preserve">1. Keep your abs braced and your ribs down so that your back doesn't arch during the movement. </t>
  </si>
  <si>
    <t>1. Lay on your back with your knees bent and your lower back pressed into the floor. Keep your abs tight and your ribs down so that your back doesn't arch. 2. Begin with your shoulder blades squeezed together and down toward your back pockets. 3. Without shrugging your shoulders upward, reach your arms as far out in front of you as you can and spread your shoulder blades apart.</t>
  </si>
  <si>
    <t>1. Keep your shoulder blade packed inward and down toward your back pockets. 2 Rotate your arm while moving from the upper arm only. 3. Don't let your shoulder capsule shift forward during the movement.</t>
  </si>
  <si>
    <t>1. Let your shoulder blades spread apart when your arms are forward. 2. Pull the cable towards your face and finish with your thumbs pointed upward and your shoulder blades squeezed together and downward. 3. Don't arch your back or let your ribs flare out during the movement.</t>
  </si>
  <si>
    <t xml:space="preserve">1. Keep your chin tucked and head in line with the rest of your spine. 2. Keep your abs tight, your ribs down and your tailbone tucked under. 3. Squeeze your shoulder blades together and downward and then rotate outward at your shoulders only. 4. Don’t jut your chin out, shrug your shoulders, allow your shoulders to roll forward, or arch your lower back.
</t>
  </si>
  <si>
    <t xml:space="preserve">1. Keep your chin tucked and head in line with the rest of your spine. 2. Tuck your tailbone under and use your abs to keep your ribs pulled down. 3. With your thumbs up, squeeze your shoulder blades together as you move your hands outward. 4. Don’t jut your chin out, shrug your shoulders, allow your shoulders to roll forward, or arch your lower back.
</t>
  </si>
  <si>
    <t xml:space="preserve">1. Keep your chin tucked and head in line with the rest of your spine. 2. Tuck your tailbone under and use your abs to keep your ribs pulled down. 3. With your thumbs up, squeeze your shoulder blades together as you move your arms in the YTI motion. 4. Don’t jut your chin out, shrug your shoulders, allow your shoulders to roll forward, or arch your lower back.
</t>
  </si>
  <si>
    <t xml:space="preserve">1. Keep the front of your pelvis pulled towards your ribs, your abs tight, your lower back pressed into the floor and your tailbone tucked under. 2. Pull one knee straight to your chest and keep the other leg extended straight out by contracting your glute on that side. 3. Don’t arch your lower back or lift the other leg off the ground.
</t>
  </si>
  <si>
    <t>1. Squat down with your heels on the ground. 2. Squat up while keeping your heels down and your abs braced. 3. Don't arch your lower back at the top.</t>
  </si>
  <si>
    <t>1. Squat down with your feet straight forward, your heels on the ground and your knees tracking over your toes. 2. Jump back to a plank position, and land with your abs braced and without arching your back. 3. Keep your ribs down and your tailbone tucked under while in the plank position to keep your lower back from arching. 4. Jump back to the squat position with your heels on the ground, knees straight forward and feet straight. 5. Jump upward and drop down to repeat.</t>
  </si>
  <si>
    <t xml:space="preserve">1. Brace your abs in order to pull your ribs down, and keep your tailbone tucked under. 2. Keep your shoulders "active." Don't let them relax during the movement. 3. Keep a rigid torso and move only from your hips, bringing one knee up at a time. 4. Don’t allow your lower back to arch or your hips to shoot up. 
</t>
  </si>
  <si>
    <t>1. Squat down with your feet straight forward, your heels on the ground and your knees tracking over your toes. 2. Jump back to a plank position, and land with your abs braced and without arching your back. 3. Drop into the pushup while keeping your tailbone tucked under and squeezing your shoulder blades together and down to your back pockets. 4. Finish the pushup and jump back to the squat position with your heels on the ground, knees straight forward and feet straight. 5. Jump upward and drop down to repeat.</t>
  </si>
  <si>
    <t>1. Squat down with your feet straight forward, your heels on the ground and your knees tracking over your toes. 2. Squat upward while pressing the weights overhead. 3. Keep your ribs down and your abs tight so that your lower back doesn't arch when the weights are overhead.</t>
  </si>
  <si>
    <t>1. Position your spine by locking your ribs down in an exhaled position with your abs. 2. Keep your tailbone tucked under and your abs tight throughout the movement. 3. Rotate the bar from side to side without letting your hips rotate, your ribs flare out or your lower back arch.</t>
  </si>
  <si>
    <t>Women's Index (Alphabetical)</t>
  </si>
  <si>
    <t>Instructions</t>
  </si>
  <si>
    <t>1. Keep your ribs down and abs braced so that your lower back doesn't arch. 2. Bring your knee up to your chest. 3. Press the band downward and lock your glute out without arching your back or letting your ribs flare out.</t>
  </si>
  <si>
    <t>1. Keep your ribs pulled down and abs tightly braced to keep your lower back from arching. 2. Push your hips back until you get a light stretch in your hamstrings. 3. Return upward and lock your hips out while tucking your tailbone downward between your knees. 4. Don't let your lower back arch during the movement.</t>
  </si>
  <si>
    <t>1. Begin with your abs tightly braced and your ribs pulled downward. Think of tucking your tailbone between your knees to keep your lower back from arching too much. 2. Lower down with your weight in your heels, your feet straight forward, your knees straight over your little toes and abs braced. 3. Squat upward while maintaining good positioning (knees straight forward, neutral spine, weight through heels.</t>
  </si>
  <si>
    <t>1. Begin with your abs tightly braced and your ribs pulled downward. Think of tucking your tailbone between your knees to keep your lower back from arching too much. 2. Push your hips back to the box with your weight on your heels, your feet straight forward, your knees straight over your little toes and abs braced. 3. Squat upward while maintaining good positioning (knees straight forward, neutral spine, weight through heels.</t>
  </si>
  <si>
    <t>1. Begin with your abs tightly braced and your ribs pulled downward. Think of tucking your tailbone between your knees to keep your lower back from arching too much. 2. Lower to the bar while pushing your hips back and loading a light stretch into your hamstrings. 3. Keep your weight on your heels, your feet straight forward, your knees straight over your little toes and abs braced. 4. Pull upward while maintaining good positioning (knees straight forward, neutral spine, weight through heels. 5. Keep your abs locked and ribs down at the top.</t>
  </si>
  <si>
    <t>1. Begin with your abs tightly braced and your ribs pulled downward. Think of tucking your tailbone between your knees to keep your lower back from arching too much. 2. Lower down with your weight in your heels, your feet straight forward, your knees straight over your little toes and abs braced. 3. Put only 50% of your weight on the box and then squat upward while maintaining good positioning (knees straight forward, neutral spine, weight through heels.</t>
  </si>
  <si>
    <t>1. Begin with your abs tightly braced and your ribs pulled downward. Think of tucking your tailbone between your knees to keep your lower back from arching too much. 2. Lower to the bar while pushing your hips back and loading a light stretch into your hamstrings. 3. Keep your weight on your heels, your knees straight over your toes and abs braced. 4. Pull upward while maintaining good positioning (knees straight forward, neutral spine, weight through heels. 5. Keep your abs locked and ribs down at the top.</t>
  </si>
  <si>
    <t>1. Move in a reciprocal pattern so that your right arm is moving back as your right leg is moving forward and vice versa.</t>
  </si>
  <si>
    <t>1. Keep your ribs down, abs tight and tailbone tucked between your knees. 2. Pull the weights back, finishing with your shoulder blade locked inward and down. 3. Don't let your shoulder capsule shift forward at the finish of the movement.</t>
  </si>
  <si>
    <t>1. Begin with your abs tightly braced and your ribs pulled downward. Think of tucking your tailbone between your knees to keep your lower back from arching too much. 2. Lower down with your weight in your heels, your feet straight forward, your knees straight over your little toes and abs braced. 3. Squat upward while maintaining good positioning with your knees straight forward, neutral spine, weight through heels. 4. Once you're 1/4 of the way up, drop back down to the bottom before squatting all the way up.</t>
  </si>
  <si>
    <t>1. Keep your lower back pressed into the bench and your abs braced in order to pull your ribs down. 2. Pack your shoulder blades together and down toward your back pockets. 3. Slowly lower the dumbbells and keep your chest muscles active as they gradually stretch out your chest muscles. 4. Roll your fingers open and drop the dumbbells when you're done.</t>
  </si>
  <si>
    <t>1. Begin with your abs tightly braced and your ribs pulled downward. Think of tucking your tailbone between your knees to keep your lower back from arching too much. 2. Lower down with your weight in your heels, your feet straight forward, your knees straight over your little toes and abs braced. 3. Squat upward while maintaining good positioning with your knees straight forward, neutral spine, weight through heels.</t>
  </si>
  <si>
    <t>1. Begin with your abs tightly braced and your ribs pulled downward. Think of tucking your tailbone between your knees to keep your lower back from arching too much. 2. Lower to the dumbbell while pushing your hips back and loading a light stretch into your hamstrings. 3. Keep your weight on your heels, your feet straight forward, your knees straight over your toes and abs braced. 4. Pull upward while maintaining good positioning (knees straight forward, neutral spine, weight through heels. 5. Keep your abs locked and ribs down at the top.</t>
  </si>
  <si>
    <t xml:space="preserve">1. Set up by shifting your hips back so your butt touches your heels, then slide your elbows to knees. 2. Keep your neck neutral, but round your back. 3. Breathe in through your nose and attempt to expand your abdomen, sides and low back.
</t>
  </si>
  <si>
    <t>1. Begin with your abs tightly braced and your ribs pulled downward. Think of tucking your tailbone between your knees to keep your lower back from arching too much. 2. Lower down with your weight in your heels, your feet straight forward, your knees straight over your little toes and abs braced. 3. Actively hold good positioning while in the bottom position. 4. After the allotted time, squat upward while maintaining good positioning with your knees straight forward, neutral spine, weight through heels.</t>
  </si>
  <si>
    <t>1. Begin with your abs tightly braced and your ribs pulled downward. Think of tucking your tailbone between your knees to keep your lower back from arching too much. 2. Lower down with your weight in your heels, your feet straight forward, your knees straight over your little toes and abs braced. 3. At the bottom, press the weight out in front of you while maintaining good positioning. 4. Squat upward while maintaining good positioning with your knees straight forward, neutral spine, weight through heels. 4.</t>
  </si>
  <si>
    <t xml:space="preserve">1. Sit on hard surface and place a lacrosse ball under your leg. 2. Bend and straighten your knee. 3. Move the ball around and roll your leg inward and outward to find tight spots. 
</t>
  </si>
  <si>
    <t xml:space="preserve">1. Hang from the bar while pulling your shoulders down towards your back pockets. 2. Keep your glutes locked out. 
3. Brace your abs while pulling the front of your pelvis towards your ribs, tucking your tailbone under and keeping your feet pointed straight ahead. 4. Hold this position for the allotted time. 
</t>
  </si>
  <si>
    <t xml:space="preserve">1. Pull your shoulders down toward your back pockets. 2. Pull the front of your pelvis toward your ribs like a reverse crunch and tuck your tailbone under. 3. Hold this pelvic tilt while pulling one knee toward your chest and simultaneously squeezing your opposite glute. 4. Don’t allow your lower back to arch. 
</t>
  </si>
  <si>
    <t>1. Kneel with one knee forward. 2. Exhale your ribs down, brace your abs and tuck your tailbone under. 3. Contract your trailing-leg glute. 4. Shhift your hips forward without arching your back, flaring your ribs or extending your tailbone back behind you.</t>
  </si>
  <si>
    <t>1. Begin with your abs tightly braced and your ribs pulled downward. Think of tucking your tailbone between your knees to keep your lower back from arching too much. 2. Lower down with your weight in your heels, your feet straight forward, your knees straight over your little toes and abs braced. 3. Squat upward while maintaining good positioning with your knees straight forward, neutral spine, weight through heels. 4. Hold onto something in front of you as a safety measure for balance.</t>
  </si>
  <si>
    <t xml:space="preserve">1. Keep your arm vertical and pack your shoulder blade down. 2. Do not shrug. 3. Brace your abs and use your hips to drive the motion. Exhale and push your hip into the floor to increase the stretch. Relax as you inhale.
</t>
  </si>
  <si>
    <t xml:space="preserve">1. Keep your abs tight, your ribs down and your tailbone tucked under. 2. Explode upward to land in a squat position, without arching your back. 3. Land with your heels down, feet straight and knees out. 4. Don’t allow your knees to collapse inward, your heels off the ground or your weight on your toes.
</t>
  </si>
  <si>
    <t>1. Use two different weights, with theh1. Use two different weights, with the lighter weight on the side of your working leg. 2. Keep your ribs down and don't arch your back as you're moving. 3. Step onto the box while keeping your hips square. 4. Keep your weight rooted through your heel - Don't come up onto your toes. 5. Step up without rotating your hips open or arching your back. 6. Keep your knee tracking straight over your toes the whole time - don't let it collapse inward. ter weight on the side of your working leg. 2. Keep your ribs down and don't arch your back as you're moving. 3. Step onto the box while keeping your hips square. 4. Keep your weight rooted through your heel - Don't come up onto your toes. 5. Step up without rotating your hips open or arching your back. 6. Keep your knee tracking straight over your toes the whole time - don't let it collapse inward.</t>
  </si>
  <si>
    <t>1. Engage your abs to pull your ribs downward. Tuck your tailbone under. 2. Press overhead while moving only your arm. Keep your shoulder pulled down away from your ears so that you don't shrug. 3. Don’t arch your lower back or flare your ribs out. Don't let the band pull you to the side.</t>
  </si>
  <si>
    <t xml:space="preserve">1. Begin by getting down on your hands and knees. 2. Cross one leg over the other. 3. Push your hips back and to the side, at approximately a 45 degree angle. You should feel a stretch in the middle of your glute. 4. Keep your tailbone tucked under and your abs tight throughout the stretch. 
</t>
  </si>
  <si>
    <t>1. Begin with your abs tightly braced and your ribs pulled downward. Think of tucking your tailbone between your knees to keep your lower back from arching too much. 2. Clasp your hands behind your head. 3. Lower down with your weight in your heels, your feet straight forward, your knees straight over your little toes and abs braced. 4. Squat upward while maintaining good positioning with your knees straight forward, neutral spine, weight through heels.</t>
  </si>
  <si>
    <t xml:space="preserve">1. Keep your chin tucked and head in line with the rest of your spine. 2. Tuck your tailbone under and use your abs to keep your ribs pulled down. 3. With your thumbs up, squeeze your shoulder blades together as you move your hands out and upward. 4. Don’t jut your chin out, shrug your shoulders, allow your shoulders to roll forward, or arch your lower back.
</t>
  </si>
  <si>
    <t xml:space="preserve">1. Keep your ribs down and abs tight. Tuck your tailbone under so that you don’t arch your lower back. 2. Slide your arm out as far as it will go, roll your hand over, raise your arm up and lock your shoulder blade firmly downward and in. 3. Move from your arm and shoulder only.
</t>
  </si>
  <si>
    <t>1. Lock your ribs down with your abs and tuck your tailbone under. 2. Step back onto the bench while keeping your pelvis square. 3. Space your feet so that at the bottom position your forward knee is at about 90 degrees, your forward shin is vertical and the trailing leg knee is just off the ground and slightly behind your hips. Your ankle should rest on the edge of the bench. 4. Don't let your pelvis roll open as you lower to the bottom position. 5. Keep your weight through your forward heel. 4. Squat upward while keeping your forward knee tracking straight over your toes and your abs tight. 5. Don't let your ribs flare or arch your lower back at the top.</t>
  </si>
  <si>
    <t>1. Lock your ribs down with your abs and tuck your tailbone under. 2. Step back onto the bench while keeping your pelvis square. 3. Space your feet so that at the bottom position your forward knee is at about 90 degrees, your forward shin is vertical and the trailing leg knee is just off the ground and slightly behind your hips. Your ankle should rest on the edge of the bench. 4. Don't let your pelvis roll open as you lower to the bottom position. 5. Keep your weight through your forward heel. 4. Jump explosively upward while keeping your forward knee tracking straight over your toes and your abs tight. 5. Don't let your ribs flare or arch your lower back at the top. 6. Land gently with a soft knee and lower under control into the next rep.</t>
  </si>
  <si>
    <t>1. Begin with your abs tightly braced and your ribs pulled downward. Think of tucking your tailbone between your knees to keep your lower back from arching too much. 2. Lower to the bar while pushing your hips back and loading a light stretch into your hamstrings. 3. Keep your weight on your heels, your feet straight forward, your knees straight over your little toes and abs braced. 4. Pull upward while maintaining good positioning (knees straight forward, neutral spine, weight through heels. 5. Keep your abs locked and ribs down at the top. 6. Shift to one leg and lower the bar without rocking your hips open or moving from your lower back. Keep your abs locked down.</t>
  </si>
  <si>
    <t xml:space="preserve">1. Keep your glutes tight and your pelvis flat. Place your hand on the bottom of your ribs. 2. Take a deep breathe in through the nose making sure to feel the expansion through entire abdomen (belly, ribs, and low back). 3. Breathe out forcefully through the mouth like you are sighing and you will feel your core contract and your lower ribs drop. 4. Keep your core tight and your lower ribs locked down as you continue to breathe the same way. Think of expanding in a 360 degree fashion through your back, sides and ribs as you inhale. 5. Don’t allow your shoulders to rise as you breathe.
</t>
  </si>
  <si>
    <t xml:space="preserve">1. Keep your abs braced, chin tucked and head in line with the rest of your spine. 2. Sit back into your heels, keep your pelvis stable and lower back still. 3. Rotate your shoulders and move from your upper back. 4. Follow your elbow with your eyes to help drive upper back movement.
</t>
  </si>
  <si>
    <t>1. Keep your ribs pulled down and abs tightly braced to keep your lower back from arching. 2. With your knees slightly bent, push your hips back until you get a light stretch in your hamstrings. 3. Return upward and lock your hips out while tucking your tailbone downward between your knees. 4. Don't let your lower back arch during the movement.</t>
  </si>
  <si>
    <t xml:space="preserve">1. Keep your abs braced, chin tucked and head in line with the rest of your spine. Use your abs to pull your ribs down, and tuck your tailbone under so that you don't extend your lower back. 2. Your upper hip and knee should both be bent at 90 degrees. 3. Rotate your arm so that your thumb faces the ground at the end of each movement. 
</t>
  </si>
  <si>
    <t>1. Keep your ribs down, abs tight and tailbone tucked between your knees. 2. Pull the band back, finishing with your shoulder blade locked inward and down. 3. Don't let your shoulder capsule shift forward at the finish of the movement.</t>
  </si>
  <si>
    <t>1. Keep your ribs pulled down and abs tightly braced to keep your lower back from arching. 2. Push your hips back until you get a light stretch in your hamstrings. 3. Keep your hips flat - don't let them roll open. 4. Return upward and lock your hips out while tucking your tailbone downward between your knees. 5. Don't let your lower back arch during the movement.</t>
  </si>
  <si>
    <t>1. The weight goes on the opposite side of your working leg. 2. Keep your ribs down and don't arch your back as you're moving. 3. Step onto the box while keeping your hips square. 4. Keep your weight rooted through your heel - Don't come up onto your toes. 5. Step up without rotating your hips open or arching your back. 6. Keep your knee tracking straight over your toes the whole time - don't let it collapse inward.</t>
  </si>
  <si>
    <t>1. Position your knees so that they are both at 90 degrees. 2. Keep your trailing hip fully extended. 3. Keep your ribs down, abs tight and tailbone tucked between your knees. 4. Pull the band back, finishing with your shoulder blade locked inward and down. 5. Don't let your shoulder capsule shift forward at the finish of the movement.</t>
  </si>
  <si>
    <t>1. Position your knees so that they are both at 90 degrees. 2. Keep your trailing hip fully extended. 3. Keep your ribs down, abs tight and tailbone tucked between your knees. 4. Pull the cable back, finishing with your shoulder blade locked inward and down. 5. Don't let your shoulder capsule shift forward at the finish of the movement.</t>
  </si>
  <si>
    <t xml:space="preserve">1. Keep your chest high, abs tight and lower ribs pulled down. Keep your head in line with the rest of your spine. 2. Keep your hips facing squarely forward. 3. Press the weight while keeping your shoulder pulled down away from your ears so that you're not shrugging. 4. Don’t arch your lower back, let your lower ribs flare out, let your shoulder roll forward or lean your body to complete the press.
</t>
  </si>
  <si>
    <t>1. Begin with your abs tight, ribs down and tailbone tucked under so that you don't arch your lower back. 2. Pull the band toward your lower ribs and finish with your shoulder blade locked tightly inward and down toward your back pockets. 3. Don't let your shoulder capsule pop forward at the finish, and don't arch your lower back.</t>
  </si>
  <si>
    <t>1. Begin with your abs tight, ribs down and tailbone tucked under so that you don't arch your lower back. 2. Pull the cable toward your lower ribs and finish with your shoulder blade locked tightly inward and down toward your back pockets. 3. Don't let your shoulder capsule pop forward at the finish, and don't arch your lower back.</t>
  </si>
  <si>
    <t>1. Engage your abs to pull your ribs downward. Tuck your tailbone under. 2. Press overhead while moving only your arm. Keep your shoulder pulled down away from your ears so that you don't shrug. 3. Don’t arch your lower back or flare your ribs out. Don't let the weight pull you to the side.</t>
  </si>
  <si>
    <t>1. Begin with your abs tight and your ribs pulled down. Keep your tailbone tucked underneath you and your shoulders back. 2. Carry the weight with tightly braced abs while keeping your shoulders back and your head neutral. 3. Don't slouch or let the weight pull you to the side.</t>
  </si>
  <si>
    <t>1. Keep your ribs pulled down and your abs tight so that your lower back doesn't arch. 2. Drive through your heel and raise your hips upward. 3. Keep your tailbone tucked between your knees to align your pelvis and spine.</t>
  </si>
  <si>
    <t>1. Keep your ribs pulled down and abs tightly braced to keep your lower back from arching. 2. Push your hips back until you get a light stretch in your hamstrings. 3. Keep your hips flat by actively keeping your zipper turned toward your forward knee. 4. Return upward and lock your hips out while tucking your tailbone downward between your knees. 5. Don't let your lower back arch or roll your hips open during the movement.</t>
  </si>
  <si>
    <t>1. The lighter weight goes on the side of the forward leg. 2. Keep your ribs pulled down and abs tightly braced to keep your lower back from arching. 3. Push your hips back until you get a light stretch in your hamstrings. 4. Keep your hips flat by actively keeping your zipper turned toward your forward knee. 5. Return upward and lock your hips out while tucking your tailbone downward between your knees. 6. Don't let your lower back arch or roll your hips open during the movement.</t>
  </si>
  <si>
    <t>1. Keep your abs tightly braced, your tailbone tucked under and your ribs down. 2. Pack your shoulder blades together and down towards your back pockets. 3. Root your heels through the floor. 4. Pull your feet towards your hips and finish the movement by tightly squeezing your glutes while bracing your abs and keeping your tailbone tucked under.</t>
  </si>
  <si>
    <t xml:space="preserve">1. Grip the front of your toes and root your weight through your heels. 2. Use your arms to pull your hips deep into the squat while keeping your chest high. 3. Use your arms to pry your knees outward. 4. While keeping your weight on your heels, straighten your knees and stretch your hamstrings. 5. Don’t shift your weight onto your toes, lift your heels off the ground or collapse your knees inward. 
</t>
  </si>
  <si>
    <t xml:space="preserve">1. Grip the front of your toes and root your weight through your heels. 2. Use your arms to pull your hips deep into the squat while keeping your chest high. 3. Use your arms to pry your knees outward, then reach your arms overhead. 4. Put your arms back down and, with your weight on your heels, straighten your knees and stretch your hamstrings. 5. Don’t shift your weight onto your toes, lift your heels off the ground or collapse your knees inward. 
</t>
  </si>
  <si>
    <t>1. Keep your abs tight, tailbone tucked under and ribs pulled down to stabilize your spine. 2. Press the weights overhead without arching your back or flaring your ribs out. 3. Keep your shoulders pulled downward away from your ears to avoid shrugging.</t>
  </si>
  <si>
    <t>1. Keep your abs tight, tailbone tucked under and ribs pulled down to stabilize your spine. 2. Stand in a split-stance, with the weight on the side of your trailing leg. 3. Press the bar overhead while keeping your shoulder pulled down away from your ears so that you don't shrug.</t>
  </si>
  <si>
    <t>1. Keep your abs tightly braced, your tailbone tucked under and your ribs down. 2. Pack your shoulder blades together and down towards your back pockets. 3. Root your heels through the floor. 4. Pull your feet towards your hips while raising your hips. 5. Finish the movement by tightly squeezing your glutes while bracing your abs and keeping your tailbone tucked under.</t>
  </si>
  <si>
    <t xml:space="preserve">
1. Lay on your back with your knees bent and your feet on the floor. Press your lower back into the ground, pull your ribs down with your abs, and tuck your tailbone under towards your kneess. 2. Pull your knees in toward each other until you feel a stretch deep in your hip capsules. 3. Don’t space your feet so close together that your knees touch. 
</t>
  </si>
  <si>
    <t>1. Start in a tall position with your chest high and both knees down. 2. Pull your ribs down by tightly bracing your abs in an exhaled position and tuck your tailbone under. 3. Press the bar overhead without arching your back or flaring your ribs. Keep your shoulder pulled down away from your ears so that you don't shrug.</t>
  </si>
  <si>
    <t xml:space="preserve">1. Breathe deeply into your chest and upper back. 2. Try to expand your entire rib cage as you stretch over the roller. 3. Keep your abs tight and ribs pulled down. 4. Don’t arch your lower back or flare your lower ribs out.
</t>
  </si>
  <si>
    <t xml:space="preserve">1. Breathe deeply into your chest and upper back. 2. Put your elbows on the bench and push your chest through to open up your upper spine. 3. Keep your abs tight and ribs pulled down. 4. Don’t arch your lower back or flare your lower ribs out.
</t>
  </si>
  <si>
    <t>1. Begin with your abs tight and your ribs pulled down. Keep your tailbone tucked underneath you and your shoulders back. 2. Press one weight overhead and keep the other at your side. 3. Carry the weights with tightly braced abs while keeping your shoulders back and your head neutral. 4. Don't slouch or let the weight pull you to the side.</t>
  </si>
  <si>
    <t>1. Begin with your abs tight and your ribs pulled down. Keep your tailbone tucked underneath you and your shoulders back. 2. Press the weights overhead. 3. Carry the weights with tightly braced abs while keeping your shoulders back and your head neutral. 4. Don't slouch or let the weight pull you to the side.</t>
  </si>
  <si>
    <t>1. Begin with your abs tight and your ribs pulled down. Keep your tailbone tucked underneath you and your shoulders back. 2. Press the weight overhead. 3. Carry the weights with tightly braced abs while keeping your shoulders back and your head neutral. 4. Don't slouch or let the weight pull you to the side.</t>
  </si>
  <si>
    <t xml:space="preserve">1. Keep your heel rooted into the floor and press forward as far as you can while tracking your knee straight over your toes on the outside of your foot. This is mobilizing the ankle of your forward leg. 2. Don’t lift your heel off the ground or push your knee towards the inside of your foot. 
</t>
  </si>
  <si>
    <t xml:space="preserve">1. Keep the front of your pelvis pulled towards your ribs, your abs tight and your tailbone tucked under. 2. Pull one knee straight towards your chest while keeping the other leg extended straight out by contracting your glute on that side. 3. Don’t arch your lower back or flare your lower ribs out
</t>
  </si>
  <si>
    <t xml:space="preserve">1. Use your arm to flex your knee as much as comfortably possible. 2. Use your abs to pull your ribs down, and keep your tailbone tucked under to protect your spine. 3. Contract the glute on your trailing-leg side in order to further stretch your hip flexors. 4. Don’t arch your lower back or let your lower ribs flare out. 
</t>
  </si>
  <si>
    <t xml:space="preserve">1. Step slightly to the outside with your forward leg to make room for your arm. 2. Keep your ribs down, tuck your tailbone under and contract the glute on your trailing leg to get a good stretch in your hip flexor. 3. Keep your neck in line with the rest of your spine. 4. With your chest high, stretch overhead and follow your hand with your eyes.
</t>
  </si>
  <si>
    <t xml:space="preserve">1. Keep your spine neutral, abs and glutes braced and hands shoulder-width apart. 2. Lower into the pushup by squeezing your shoulder blades together and down into your back pockets and keeping your elbows tucked in. 3. From the top of the pushup, push your hips into the air and drive your heels toward the ground to stretch your lats, chest, calves and hamstrings. 
</t>
  </si>
  <si>
    <t>Men's Index (Alphabetical)</t>
  </si>
  <si>
    <t>1. Keep your spine neutral, abs and glutes braced and hands shoulder-width apart. 2. Lower into the pushup by squeezing your shoulder blades together and down into your back pockets and keeping your elbows tucked in. 3. From the top of the pushup, push your hips into the air and drive your heels toward the ground to stretch your lats, chest, calves and hamstrings.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</si>
</sst>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b/>
      <sz val="12"/>
      <color theme="1"/>
      <name val="Open Sans"/>
    </font>
    <font>
      <b/>
      <sz val="24"/>
      <color theme="1"/>
      <name val="Arial"/>
    </font>
    <font>
      <b/>
      <sz val="14"/>
      <color theme="1"/>
      <name val="Arial"/>
    </font>
    <font>
      <sz val="10"/>
      <color theme="1"/>
      <name val="Arial"/>
    </font>
    <font>
      <b/>
      <u/>
      <sz val="12"/>
      <color rgb="FF1155CC"/>
      <name val="Arial"/>
    </font>
    <font>
      <b/>
      <sz val="14"/>
      <color rgb="FF000000"/>
      <name val="Arial"/>
    </font>
    <font>
      <b/>
      <u/>
      <sz val="12"/>
      <color rgb="FF1155CC"/>
      <name val="Open Sans"/>
    </font>
    <font>
      <sz val="10"/>
      <color rgb="FF000000"/>
      <name val="Arial"/>
    </font>
    <font>
      <sz val="14"/>
      <color theme="1"/>
      <name val="Arial"/>
    </font>
    <font>
      <b/>
      <sz val="12"/>
      <color theme="1"/>
      <name val="Calibri"/>
    </font>
    <font>
      <sz val="10"/>
      <color theme="1"/>
      <name val="Calibri"/>
    </font>
    <font>
      <b/>
      <sz val="14"/>
      <color rgb="FF000000"/>
      <name val="Open Sans"/>
    </font>
  </fonts>
  <fills count="6">
    <fill>
      <patternFill patternType="none"/>
    </fill>
    <fill>
      <patternFill patternType="gray125"/>
    </fill>
    <fill>
      <patternFill patternType="solid">
        <fgColor rgb="FFF3F3F3"/>
        <bgColor rgb="FFF3F3F3"/>
      </patternFill>
    </fill>
    <fill>
      <patternFill patternType="solid">
        <fgColor rgb="FFD9D9D9"/>
        <bgColor rgb="FFD9D9D9"/>
      </patternFill>
    </fill>
    <fill>
      <patternFill patternType="solid">
        <fgColor rgb="FF999999"/>
        <bgColor rgb="FF999999"/>
      </patternFill>
    </fill>
    <fill>
      <patternFill patternType="solid">
        <fgColor rgb="FFB7B7B7"/>
        <bgColor rgb="FFB7B7B7"/>
      </patternFill>
    </fill>
  </fills>
  <borders count="1">
    <border>
      <left/>
      <right/>
      <top/>
      <bottom/>
      <diagonal/>
    </border>
  </borders>
  <cellStyleXfs count="1">
    <xf numFmtId="0" fontId="0" fillId="0" borderId="0"/>
  </cellStyleXfs>
  <cellXfs count="20">
    <xf numFmtId="0" fontId="0" fillId="0" borderId="0" xfId="0"/>
    <xf numFmtId="0" fontId="0" fillId="0" borderId="0" xfId="0" applyFont="1" applyAlignment="1"/>
    <xf numFmtId="0" fontId="0" fillId="0" borderId="0" xfId="0" applyFont="1" applyAlignment="1"/>
    <xf numFmtId="0" fontId="4" fillId="0" borderId="0" xfId="0" applyFont="1" applyAlignment="1">
      <alignment vertical="center" wrapText="1"/>
    </xf>
    <xf numFmtId="0" fontId="4" fillId="3" borderId="0" xfId="0" applyFont="1" applyFill="1" applyAlignment="1">
      <alignment vertical="center" wrapText="1"/>
    </xf>
    <xf numFmtId="0" fontId="6" fillId="5" borderId="0" xfId="0" applyFont="1" applyFill="1" applyAlignment="1">
      <alignment vertical="center" wrapText="1"/>
    </xf>
    <xf numFmtId="0" fontId="2" fillId="4" borderId="0" xfId="0" applyFont="1" applyFill="1" applyAlignment="1">
      <alignment horizontal="center" vertical="center"/>
    </xf>
    <xf numFmtId="0" fontId="9" fillId="5" borderId="0" xfId="0" applyFont="1" applyFill="1" applyAlignment="1">
      <alignment vertical="center"/>
    </xf>
    <xf numFmtId="0" fontId="3" fillId="5" borderId="0" xfId="0" applyFont="1" applyFill="1" applyAlignment="1">
      <alignment vertical="center" wrapText="1"/>
    </xf>
    <xf numFmtId="0" fontId="9" fillId="5" borderId="0" xfId="0" applyFont="1" applyFill="1" applyAlignment="1">
      <alignment vertical="center" wrapText="1"/>
    </xf>
    <xf numFmtId="0" fontId="5" fillId="3" borderId="0" xfId="0" applyFont="1" applyFill="1" applyAlignment="1">
      <alignment vertical="center" wrapText="1"/>
    </xf>
    <xf numFmtId="0" fontId="0" fillId="3" borderId="0" xfId="0" applyFont="1" applyFill="1" applyAlignment="1">
      <alignment vertical="center" wrapText="1"/>
    </xf>
    <xf numFmtId="0" fontId="10" fillId="3" borderId="0" xfId="0" applyFont="1" applyFill="1" applyAlignment="1">
      <alignment vertical="center" wrapText="1"/>
    </xf>
    <xf numFmtId="0" fontId="11" fillId="3" borderId="0" xfId="0" applyFont="1" applyFill="1" applyAlignment="1">
      <alignment vertical="center" wrapText="1"/>
    </xf>
    <xf numFmtId="0" fontId="4" fillId="3" borderId="0" xfId="0" applyFont="1" applyFill="1" applyAlignment="1">
      <alignment vertical="center"/>
    </xf>
    <xf numFmtId="0" fontId="4" fillId="4" borderId="0" xfId="0" applyFont="1" applyFill="1"/>
    <xf numFmtId="0" fontId="12" fillId="5" borderId="0" xfId="0" applyFont="1" applyFill="1" applyAlignment="1">
      <alignment vertical="center" wrapText="1"/>
    </xf>
    <xf numFmtId="0" fontId="7" fillId="3" borderId="0" xfId="0" applyFont="1" applyFill="1" applyAlignment="1">
      <alignment vertical="center" wrapText="1"/>
    </xf>
    <xf numFmtId="0" fontId="8" fillId="2" borderId="0" xfId="0" applyFont="1" applyFill="1" applyAlignment="1">
      <alignment horizontal="left" vertical="center" wrapText="1"/>
    </xf>
    <xf numFmtId="0" fontId="1" fillId="3" borderId="0" xfId="0" applyFont="1" applyFill="1" applyAlignment="1">
      <alignment vertical="center" wrapText="1"/>
    </xf>
  </cellXfs>
  <cellStyles count="1">
    <cellStyle name="Normal" xfId="0" builtinId="0"/>
  </cellStyles>
  <dxfs count="156">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78" defaultTableStyle="TableStyleMedium2" defaultPivotStyle="PivotStyleLight16">
    <tableStyle name="Men's Arms-style" pivot="0" count="2">
      <tableStyleElement type="firstRowStripe" dxfId="27"/>
      <tableStyleElement type="secondRowStripe" dxfId="26"/>
    </tableStyle>
    <tableStyle name="Men's Arms-style 2" pivot="0" count="2">
      <tableStyleElement type="firstRowStripe" dxfId="25"/>
      <tableStyleElement type="secondRowStripe" dxfId="24"/>
    </tableStyle>
    <tableStyle name="Men's Core Work-style" pivot="0" count="2">
      <tableStyleElement type="firstRowStripe" dxfId="143"/>
      <tableStyleElement type="secondRowStripe" dxfId="142"/>
    </tableStyle>
    <tableStyle name="Men's Core Work-style 2" pivot="0" count="2">
      <tableStyleElement type="firstRowStripe" dxfId="141"/>
      <tableStyleElement type="secondRowStripe" dxfId="140"/>
    </tableStyle>
    <tableStyle name="Men's Core Work-style 3" pivot="0" count="2">
      <tableStyleElement type="firstRowStripe" dxfId="139"/>
      <tableStyleElement type="secondRowStripe" dxfId="138"/>
    </tableStyle>
    <tableStyle name="Men's Core Work-style 4" pivot="0" count="2">
      <tableStyleElement type="firstRowStripe" dxfId="137"/>
      <tableStyleElement type="secondRowStripe" dxfId="136"/>
    </tableStyle>
    <tableStyle name="Men's Core Work-style 5" pivot="0" count="2">
      <tableStyleElement type="firstRowStripe" dxfId="135"/>
      <tableStyleElement type="secondRowStripe" dxfId="134"/>
    </tableStyle>
    <tableStyle name="Men's Core Work-style 6" pivot="0" count="2">
      <tableStyleElement type="firstRowStripe" dxfId="133"/>
      <tableStyleElement type="secondRowStripe" dxfId="132"/>
    </tableStyle>
    <tableStyle name="Men's Corrective Work-style" pivot="0" count="2">
      <tableStyleElement type="firstRowStripe" dxfId="15"/>
      <tableStyleElement type="secondRowStripe" dxfId="14"/>
    </tableStyle>
    <tableStyle name="Men's Corrective Work-style 2" pivot="0" count="2">
      <tableStyleElement type="firstRowStripe" dxfId="13"/>
      <tableStyleElement type="secondRowStripe" dxfId="12"/>
    </tableStyle>
    <tableStyle name="Men's Corrective Work-style 3" pivot="0" count="2">
      <tableStyleElement type="firstRowStripe" dxfId="11"/>
      <tableStyleElement type="secondRowStripe" dxfId="10"/>
    </tableStyle>
    <tableStyle name="Men's Corrective Work-style 4" pivot="0" count="2">
      <tableStyleElement type="firstRowStripe" dxfId="9"/>
      <tableStyleElement type="secondRowStripe" dxfId="8"/>
    </tableStyle>
    <tableStyle name="Men's Hip Hinge-style" pivot="0" count="2">
      <tableStyleElement type="firstRowStripe" dxfId="49"/>
      <tableStyleElement type="secondRowStripe" dxfId="48"/>
    </tableStyle>
    <tableStyle name="Men's Hip Hinge-style 2" pivot="0" count="2">
      <tableStyleElement type="firstRowStripe" dxfId="47"/>
      <tableStyleElement type="secondRowStripe" dxfId="46"/>
    </tableStyle>
    <tableStyle name="Men's Hip Hinge-style 3" pivot="0" count="2">
      <tableStyleElement type="firstRowStripe" dxfId="45"/>
      <tableStyleElement type="secondRowStripe" dxfId="44"/>
    </tableStyle>
    <tableStyle name="Men's Horizontal Pressing-style" pivot="0" count="2">
      <tableStyleElement type="firstRowStripe" dxfId="123"/>
      <tableStyleElement type="secondRowStripe" dxfId="122"/>
    </tableStyle>
    <tableStyle name="Men's Horizontal Pressing-style 2" pivot="0" count="2">
      <tableStyleElement type="firstRowStripe" dxfId="121"/>
      <tableStyleElement type="secondRowStripe" dxfId="120"/>
    </tableStyle>
    <tableStyle name="Men's Horizontal Pressing-style 3" pivot="0" count="2">
      <tableStyleElement type="firstRowStripe" dxfId="119"/>
      <tableStyleElement type="secondRowStripe" dxfId="118"/>
    </tableStyle>
    <tableStyle name="Men's Horizontal Pressing-style 4" pivot="0" count="2">
      <tableStyleElement type="firstRowStripe" dxfId="117"/>
      <tableStyleElement type="secondRowStripe" dxfId="116"/>
    </tableStyle>
    <tableStyle name="Men's Horizontal Pulling-style" pivot="0" count="2">
      <tableStyleElement type="firstRowStripe" dxfId="93"/>
      <tableStyleElement type="secondRowStripe" dxfId="92"/>
    </tableStyle>
    <tableStyle name="Men's Horizontal Pulling-style 2" pivot="0" count="2">
      <tableStyleElement type="firstRowStripe" dxfId="91"/>
      <tableStyleElement type="secondRowStripe" dxfId="90"/>
    </tableStyle>
    <tableStyle name="Men's Horizontal Pulling-style 3" pivot="0" count="2">
      <tableStyleElement type="firstRowStripe" dxfId="89"/>
      <tableStyleElement type="secondRowStripe" dxfId="88"/>
    </tableStyle>
    <tableStyle name="Men's Horizontal Pulling-style 4" pivot="0" count="2">
      <tableStyleElement type="firstRowStripe" dxfId="87"/>
      <tableStyleElement type="secondRowStripe" dxfId="86"/>
    </tableStyle>
    <tableStyle name="Men's Horizontal Pulling-style 5" pivot="0" count="2">
      <tableStyleElement type="firstRowStripe" dxfId="85"/>
      <tableStyleElement type="secondRowStripe" dxfId="84"/>
    </tableStyle>
    <tableStyle name="Men's Index (Alphabetical)-style" pivot="0" count="2">
      <tableStyleElement type="firstRowStripe" dxfId="1"/>
      <tableStyleElement type="secondRowStripe" dxfId="0"/>
    </tableStyle>
    <tableStyle name="Men's Jumps-style" pivot="0" count="2">
      <tableStyleElement type="firstRowStripe" dxfId="33"/>
      <tableStyleElement type="secondRowStripe" dxfId="32"/>
    </tableStyle>
    <tableStyle name="Men's Metabolic Work-style" pivot="0" count="2">
      <tableStyleElement type="firstRowStripe" dxfId="5"/>
      <tableStyleElement type="secondRowStripe" dxfId="4"/>
    </tableStyle>
    <tableStyle name="Men's Single-Leg-style" pivot="0" count="2">
      <tableStyleElement type="firstRowStripe" dxfId="37"/>
      <tableStyleElement type="secondRowStripe" dxfId="36"/>
    </tableStyle>
    <tableStyle name="Men's Squats-style" pivot="0" count="2">
      <tableStyleElement type="firstRowStripe" dxfId="63"/>
      <tableStyleElement type="secondRowStripe" dxfId="62"/>
    </tableStyle>
    <tableStyle name="Men's Squats-style 2" pivot="0" count="2">
      <tableStyleElement type="firstRowStripe" dxfId="61"/>
      <tableStyleElement type="secondRowStripe" dxfId="60"/>
    </tableStyle>
    <tableStyle name="Men's Squats-style 3" pivot="0" count="2">
      <tableStyleElement type="firstRowStripe" dxfId="59"/>
      <tableStyleElement type="secondRowStripe" dxfId="58"/>
    </tableStyle>
    <tableStyle name="Men's Squats-style 4" pivot="0" count="2">
      <tableStyleElement type="firstRowStripe" dxfId="57"/>
      <tableStyleElement type="secondRowStripe" dxfId="56"/>
    </tableStyle>
    <tableStyle name="Men's Vertical Pressing-style" pivot="0" count="2">
      <tableStyleElement type="firstRowStripe" dxfId="109"/>
      <tableStyleElement type="secondRowStripe" dxfId="108"/>
    </tableStyle>
    <tableStyle name="Men's Vertical Pressing-style 2" pivot="0" count="2">
      <tableStyleElement type="firstRowStripe" dxfId="107"/>
      <tableStyleElement type="secondRowStripe" dxfId="106"/>
    </tableStyle>
    <tableStyle name="Men's Vertical Pressing-style 3" pivot="0" count="2">
      <tableStyleElement type="firstRowStripe" dxfId="105"/>
      <tableStyleElement type="secondRowStripe" dxfId="104"/>
    </tableStyle>
    <tableStyle name="Men's Vertical Pulling-style" pivot="0" count="2">
      <tableStyleElement type="firstRowStripe" dxfId="77"/>
      <tableStyleElement type="secondRowStripe" dxfId="76"/>
    </tableStyle>
    <tableStyle name="Men's Vertical Pulling-style 2" pivot="0" count="2">
      <tableStyleElement type="firstRowStripe" dxfId="75"/>
      <tableStyleElement type="secondRowStripe" dxfId="74"/>
    </tableStyle>
    <tableStyle name="Men's Vertical Pulling-style 3" pivot="0" count="2">
      <tableStyleElement type="firstRowStripe" dxfId="73"/>
      <tableStyleElement type="secondRowStripe" dxfId="72"/>
    </tableStyle>
    <tableStyle name="Women's Arms-style" pivot="0" count="2">
      <tableStyleElement type="firstRowStripe" dxfId="31"/>
      <tableStyleElement type="secondRowStripe" dxfId="30"/>
    </tableStyle>
    <tableStyle name="Women's Arms-style 2" pivot="0" count="2">
      <tableStyleElement type="firstRowStripe" dxfId="29"/>
      <tableStyleElement type="secondRowStripe" dxfId="28"/>
    </tableStyle>
    <tableStyle name="Women's Core Work-style" pivot="0" count="2">
      <tableStyleElement type="firstRowStripe" dxfId="155"/>
      <tableStyleElement type="secondRowStripe" dxfId="154"/>
    </tableStyle>
    <tableStyle name="Women's Core Work-style 2" pivot="0" count="2">
      <tableStyleElement type="firstRowStripe" dxfId="153"/>
      <tableStyleElement type="secondRowStripe" dxfId="152"/>
    </tableStyle>
    <tableStyle name="Women's Core Work-style 3" pivot="0" count="2">
      <tableStyleElement type="firstRowStripe" dxfId="151"/>
      <tableStyleElement type="secondRowStripe" dxfId="150"/>
    </tableStyle>
    <tableStyle name="Women's Core Work-style 4" pivot="0" count="2">
      <tableStyleElement type="firstRowStripe" dxfId="149"/>
      <tableStyleElement type="secondRowStripe" dxfId="148"/>
    </tableStyle>
    <tableStyle name="Women's Core Work-style 5" pivot="0" count="2">
      <tableStyleElement type="firstRowStripe" dxfId="147"/>
      <tableStyleElement type="secondRowStripe" dxfId="146"/>
    </tableStyle>
    <tableStyle name="Women's Core Work-style 6" pivot="0" count="2">
      <tableStyleElement type="firstRowStripe" dxfId="145"/>
      <tableStyleElement type="secondRowStripe" dxfId="144"/>
    </tableStyle>
    <tableStyle name="Women's Corrective Work-style" pivot="0" count="2">
      <tableStyleElement type="firstRowStripe" dxfId="23"/>
      <tableStyleElement type="secondRowStripe" dxfId="22"/>
    </tableStyle>
    <tableStyle name="Women's Corrective Work-style 2" pivot="0" count="2">
      <tableStyleElement type="firstRowStripe" dxfId="21"/>
      <tableStyleElement type="secondRowStripe" dxfId="20"/>
    </tableStyle>
    <tableStyle name="Women's Corrective Work-style 3" pivot="0" count="2">
      <tableStyleElement type="firstRowStripe" dxfId="19"/>
      <tableStyleElement type="secondRowStripe" dxfId="18"/>
    </tableStyle>
    <tableStyle name="Women's Corrective Work-style 4" pivot="0" count="2">
      <tableStyleElement type="firstRowStripe" dxfId="17"/>
      <tableStyleElement type="secondRowStripe" dxfId="16"/>
    </tableStyle>
    <tableStyle name="Women's Hip Hinge-style" pivot="0" count="2">
      <tableStyleElement type="firstRowStripe" dxfId="55"/>
      <tableStyleElement type="secondRowStripe" dxfId="54"/>
    </tableStyle>
    <tableStyle name="Women's Hip Hinge-style 2" pivot="0" count="2">
      <tableStyleElement type="firstRowStripe" dxfId="53"/>
      <tableStyleElement type="secondRowStripe" dxfId="52"/>
    </tableStyle>
    <tableStyle name="Women's Hip Hinge-style 3" pivot="0" count="2">
      <tableStyleElement type="firstRowStripe" dxfId="51"/>
      <tableStyleElement type="secondRowStripe" dxfId="50"/>
    </tableStyle>
    <tableStyle name="Women's Horizontal Pressing-style" pivot="0" count="2">
      <tableStyleElement type="firstRowStripe" dxfId="131"/>
      <tableStyleElement type="secondRowStripe" dxfId="130"/>
    </tableStyle>
    <tableStyle name="Women's Horizontal Pressing-style 2" pivot="0" count="2">
      <tableStyleElement type="firstRowStripe" dxfId="129"/>
      <tableStyleElement type="secondRowStripe" dxfId="128"/>
    </tableStyle>
    <tableStyle name="Women's Horizontal Pressing-style 3" pivot="0" count="2">
      <tableStyleElement type="firstRowStripe" dxfId="127"/>
      <tableStyleElement type="secondRowStripe" dxfId="126"/>
    </tableStyle>
    <tableStyle name="Women's Horizontal Pressing-style 4" pivot="0" count="2">
      <tableStyleElement type="firstRowStripe" dxfId="125"/>
      <tableStyleElement type="secondRowStripe" dxfId="124"/>
    </tableStyle>
    <tableStyle name="Women's Horizontal Pulling-style" pivot="0" count="2">
      <tableStyleElement type="firstRowStripe" dxfId="103"/>
      <tableStyleElement type="secondRowStripe" dxfId="102"/>
    </tableStyle>
    <tableStyle name="Women's Horizontal Pulling-style 2" pivot="0" count="2">
      <tableStyleElement type="firstRowStripe" dxfId="101"/>
      <tableStyleElement type="secondRowStripe" dxfId="100"/>
    </tableStyle>
    <tableStyle name="Women's Horizontal Pulling-style 3" pivot="0" count="2">
      <tableStyleElement type="firstRowStripe" dxfId="99"/>
      <tableStyleElement type="secondRowStripe" dxfId="98"/>
    </tableStyle>
    <tableStyle name="Women's Horizontal Pulling-style 4" pivot="0" count="2">
      <tableStyleElement type="firstRowStripe" dxfId="97"/>
      <tableStyleElement type="secondRowStripe" dxfId="96"/>
    </tableStyle>
    <tableStyle name="Women's Horizontal Pulling-style 5" pivot="0" count="2">
      <tableStyleElement type="firstRowStripe" dxfId="95"/>
      <tableStyleElement type="secondRowStripe" dxfId="94"/>
    </tableStyle>
    <tableStyle name="Women's Index (Alphabetical)-style" pivot="0" count="2">
      <tableStyleElement type="firstRowStripe" dxfId="3"/>
      <tableStyleElement type="secondRowStripe" dxfId="2"/>
    </tableStyle>
    <tableStyle name="Women's Jumps-style" pivot="0" count="2">
      <tableStyleElement type="firstRowStripe" dxfId="35"/>
      <tableStyleElement type="secondRowStripe" dxfId="34"/>
    </tableStyle>
    <tableStyle name="Women's Metabolic Work-style" pivot="0" count="2">
      <tableStyleElement type="firstRowStripe" dxfId="7"/>
      <tableStyleElement type="secondRowStripe" dxfId="6"/>
    </tableStyle>
    <tableStyle name="Women's Single-Leg-style" pivot="0" count="2">
      <tableStyleElement type="firstRowStripe" dxfId="43"/>
      <tableStyleElement type="secondRowStripe" dxfId="42"/>
    </tableStyle>
    <tableStyle name="Women's Single-Leg-style 2" pivot="0" count="2">
      <tableStyleElement type="firstRowStripe" dxfId="41"/>
      <tableStyleElement type="secondRowStripe" dxfId="40"/>
    </tableStyle>
    <tableStyle name="Women's Single-Leg-style 3" pivot="0" count="2">
      <tableStyleElement type="firstRowStripe" dxfId="39"/>
      <tableStyleElement type="secondRowStripe" dxfId="38"/>
    </tableStyle>
    <tableStyle name="Women's Squats-style" pivot="0" count="2">
      <tableStyleElement type="firstRowStripe" dxfId="71"/>
      <tableStyleElement type="secondRowStripe" dxfId="70"/>
    </tableStyle>
    <tableStyle name="Women's Squats-style 2" pivot="0" count="2">
      <tableStyleElement type="firstRowStripe" dxfId="69"/>
      <tableStyleElement type="secondRowStripe" dxfId="68"/>
    </tableStyle>
    <tableStyle name="Women's Squats-style 3" pivot="0" count="2">
      <tableStyleElement type="firstRowStripe" dxfId="67"/>
      <tableStyleElement type="secondRowStripe" dxfId="66"/>
    </tableStyle>
    <tableStyle name="Women's Squats-style 4" pivot="0" count="2">
      <tableStyleElement type="firstRowStripe" dxfId="65"/>
      <tableStyleElement type="secondRowStripe" dxfId="64"/>
    </tableStyle>
    <tableStyle name="Women's Vertical Pressing-style" pivot="0" count="2">
      <tableStyleElement type="firstRowStripe" dxfId="115"/>
      <tableStyleElement type="secondRowStripe" dxfId="114"/>
    </tableStyle>
    <tableStyle name="Women's Vertical Pressing-style 2" pivot="0" count="2">
      <tableStyleElement type="firstRowStripe" dxfId="113"/>
      <tableStyleElement type="secondRowStripe" dxfId="112"/>
    </tableStyle>
    <tableStyle name="Women's Vertical Pressing-style 3" pivot="0" count="2">
      <tableStyleElement type="firstRowStripe" dxfId="111"/>
      <tableStyleElement type="secondRowStripe" dxfId="110"/>
    </tableStyle>
    <tableStyle name="Women's Vertical Pulling-style" pivot="0" count="2">
      <tableStyleElement type="firstRowStripe" dxfId="83"/>
      <tableStyleElement type="secondRowStripe" dxfId="82"/>
    </tableStyle>
    <tableStyle name="Women's Vertical Pulling-style 2" pivot="0" count="2">
      <tableStyleElement type="firstRowStripe" dxfId="81"/>
      <tableStyleElement type="secondRowStripe" dxfId="80"/>
    </tableStyle>
    <tableStyle name="Women's Vertical Pulling-style 3" pivot="0" count="2">
      <tableStyleElement type="firstRowStripe" dxfId="79"/>
      <tableStyleElement type="secondRowStripe" dxfId="7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86" name="Table_77" displayName="Table_77" ref="A5:Z396"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Index (Alphabetical)-style" showFirstColumn="1" showLastColumn="1" showRowStripes="1" showColumnStripes="0"/>
</table>
</file>

<file path=xl/tables/table2.xml><?xml version="1.0" encoding="utf-8"?>
<table xmlns="http://schemas.openxmlformats.org/spreadsheetml/2006/main" id="85" name="Table_78" displayName="Table_78" ref="A5:Z396"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Index (Alphabetical)-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meo.com/111440656" TargetMode="External"/><Relationship Id="rId2" Type="http://schemas.openxmlformats.org/officeDocument/2006/relationships/hyperlink" Target="https://vimeo.com/111440651" TargetMode="External"/><Relationship Id="rId1" Type="http://schemas.openxmlformats.org/officeDocument/2006/relationships/hyperlink" Target="https://vimeo.com/111255275" TargetMode="External"/><Relationship Id="rId5" Type="http://schemas.openxmlformats.org/officeDocument/2006/relationships/table" Target="../tables/table1.xml"/><Relationship Id="rId4" Type="http://schemas.openxmlformats.org/officeDocument/2006/relationships/hyperlink" Target="https://vimeo.com/111532987"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vimeo.com/1237317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workbookViewId="0">
      <selection sqref="A1:B3"/>
    </sheetView>
  </sheetViews>
  <sheetFormatPr defaultColWidth="14.42578125" defaultRowHeight="15"/>
  <cols>
    <col min="1" max="1" width="37.28515625" style="2" customWidth="1"/>
    <col min="2" max="2" width="158.140625" style="2" customWidth="1"/>
    <col min="3" max="16384" width="14.42578125" style="2"/>
  </cols>
  <sheetData>
    <row r="1" spans="1:26" ht="18">
      <c r="A1" s="6" t="s">
        <v>184</v>
      </c>
      <c r="B1" s="1"/>
      <c r="C1" s="7"/>
      <c r="D1" s="7"/>
      <c r="E1" s="7"/>
      <c r="F1" s="7"/>
      <c r="G1" s="7"/>
      <c r="H1" s="7"/>
      <c r="I1" s="7"/>
      <c r="J1" s="7"/>
      <c r="K1" s="7"/>
      <c r="L1" s="7"/>
      <c r="M1" s="7"/>
      <c r="N1" s="7"/>
      <c r="O1" s="7"/>
      <c r="P1" s="7"/>
      <c r="Q1" s="7"/>
      <c r="R1" s="7"/>
      <c r="S1" s="7"/>
      <c r="T1" s="7"/>
      <c r="U1" s="7"/>
      <c r="V1" s="7"/>
      <c r="W1" s="7"/>
      <c r="X1" s="7"/>
      <c r="Y1" s="7"/>
      <c r="Z1" s="7"/>
    </row>
    <row r="2" spans="1:26" ht="18">
      <c r="A2" s="1"/>
      <c r="B2" s="1"/>
      <c r="C2" s="7"/>
      <c r="D2" s="7"/>
      <c r="E2" s="7"/>
      <c r="F2" s="7"/>
      <c r="G2" s="7"/>
      <c r="H2" s="7"/>
      <c r="I2" s="7"/>
      <c r="J2" s="7"/>
      <c r="K2" s="7"/>
      <c r="L2" s="7"/>
      <c r="M2" s="7"/>
      <c r="N2" s="7"/>
      <c r="O2" s="7"/>
      <c r="P2" s="7"/>
      <c r="Q2" s="7"/>
      <c r="R2" s="7"/>
      <c r="S2" s="7"/>
      <c r="T2" s="7"/>
      <c r="U2" s="7"/>
      <c r="V2" s="7"/>
      <c r="W2" s="7"/>
      <c r="X2" s="7"/>
      <c r="Y2" s="7"/>
      <c r="Z2" s="7"/>
    </row>
    <row r="3" spans="1:26" ht="18">
      <c r="A3" s="1"/>
      <c r="B3" s="1"/>
      <c r="C3" s="7"/>
      <c r="D3" s="7"/>
      <c r="E3" s="7"/>
      <c r="F3" s="7"/>
      <c r="G3" s="7"/>
      <c r="H3" s="7"/>
      <c r="I3" s="7"/>
      <c r="J3" s="7"/>
      <c r="K3" s="7"/>
      <c r="L3" s="7"/>
      <c r="M3" s="7"/>
      <c r="N3" s="7"/>
      <c r="O3" s="7"/>
      <c r="P3" s="7"/>
      <c r="Q3" s="7"/>
      <c r="R3" s="7"/>
      <c r="S3" s="7"/>
      <c r="T3" s="7"/>
      <c r="U3" s="7"/>
      <c r="V3" s="7"/>
      <c r="W3" s="7"/>
      <c r="X3" s="7"/>
      <c r="Y3" s="7"/>
      <c r="Z3" s="7"/>
    </row>
    <row r="4" spans="1:26" ht="45" customHeight="1">
      <c r="A4" s="5" t="s">
        <v>0</v>
      </c>
      <c r="B4" s="8" t="s">
        <v>185</v>
      </c>
      <c r="C4" s="9"/>
      <c r="D4" s="9"/>
      <c r="E4" s="9"/>
      <c r="F4" s="9"/>
      <c r="G4" s="9"/>
      <c r="H4" s="9"/>
      <c r="I4" s="9"/>
      <c r="J4" s="9"/>
      <c r="K4" s="9"/>
      <c r="L4" s="9"/>
      <c r="M4" s="9"/>
      <c r="N4" s="9"/>
      <c r="O4" s="9"/>
      <c r="P4" s="9"/>
      <c r="Q4" s="9"/>
      <c r="R4" s="9"/>
      <c r="S4" s="9"/>
      <c r="T4" s="9"/>
      <c r="U4" s="9"/>
      <c r="V4" s="9"/>
      <c r="W4" s="9"/>
      <c r="X4" s="9"/>
      <c r="Y4" s="9"/>
      <c r="Z4" s="9"/>
    </row>
    <row r="5" spans="1:26" ht="45" customHeight="1">
      <c r="A5" s="10" t="str">
        <f>HYPERLINK("https://vimeo.com/111032082","90/90 Wall Balloon-Breathing")</f>
        <v>90/90 Wall Balloon-Breathing</v>
      </c>
      <c r="B5" s="11" t="s">
        <v>13</v>
      </c>
      <c r="C5" s="4"/>
      <c r="D5" s="4"/>
      <c r="E5" s="4"/>
      <c r="F5" s="4"/>
      <c r="G5" s="4"/>
      <c r="H5" s="4"/>
      <c r="I5" s="4"/>
      <c r="J5" s="4"/>
      <c r="K5" s="4"/>
      <c r="L5" s="4"/>
      <c r="M5" s="4"/>
      <c r="N5" s="4"/>
      <c r="O5" s="4"/>
      <c r="P5" s="4"/>
      <c r="Q5" s="4"/>
      <c r="R5" s="4"/>
      <c r="S5" s="4"/>
      <c r="T5" s="4"/>
      <c r="U5" s="4"/>
      <c r="V5" s="4"/>
      <c r="W5" s="4"/>
      <c r="X5" s="4"/>
      <c r="Y5" s="4"/>
      <c r="Z5" s="4"/>
    </row>
    <row r="6" spans="1:26" ht="45" customHeight="1">
      <c r="A6" s="10" t="str">
        <f>HYPERLINK("https://vimeo.com/111032083","Ab Wheel Iso")</f>
        <v>Ab Wheel Iso</v>
      </c>
      <c r="B6" s="11" t="s">
        <v>52</v>
      </c>
      <c r="C6" s="4"/>
      <c r="D6" s="4"/>
      <c r="E6" s="4"/>
      <c r="F6" s="4"/>
      <c r="G6" s="4"/>
      <c r="H6" s="4"/>
      <c r="I6" s="4"/>
      <c r="J6" s="4"/>
      <c r="K6" s="4"/>
      <c r="L6" s="4"/>
      <c r="M6" s="4"/>
      <c r="N6" s="4"/>
      <c r="O6" s="4"/>
      <c r="P6" s="4"/>
      <c r="Q6" s="4"/>
      <c r="R6" s="4"/>
      <c r="S6" s="4"/>
      <c r="T6" s="4"/>
      <c r="U6" s="4"/>
      <c r="V6" s="4"/>
      <c r="W6" s="4"/>
      <c r="X6" s="4"/>
      <c r="Y6" s="4"/>
      <c r="Z6" s="4"/>
    </row>
    <row r="7" spans="1:26" ht="45" customHeight="1">
      <c r="A7" s="10" t="str">
        <f>HYPERLINK("https://vimeo.com/111032084","Ab Wheel Rollout")</f>
        <v>Ab Wheel Rollout</v>
      </c>
      <c r="B7" s="4" t="s">
        <v>52</v>
      </c>
      <c r="C7" s="4"/>
      <c r="D7" s="4"/>
      <c r="E7" s="4"/>
      <c r="F7" s="4"/>
      <c r="G7" s="4"/>
      <c r="H7" s="4"/>
      <c r="I7" s="4"/>
      <c r="J7" s="4"/>
      <c r="K7" s="4"/>
      <c r="L7" s="4"/>
      <c r="M7" s="4"/>
      <c r="N7" s="4"/>
      <c r="O7" s="4"/>
      <c r="P7" s="4"/>
      <c r="Q7" s="4"/>
      <c r="R7" s="4"/>
      <c r="S7" s="4"/>
      <c r="T7" s="4"/>
      <c r="U7" s="4"/>
      <c r="V7" s="4"/>
      <c r="W7" s="4"/>
      <c r="X7" s="4"/>
      <c r="Y7" s="4"/>
      <c r="Z7" s="4"/>
    </row>
    <row r="8" spans="1:26" ht="45" customHeight="1">
      <c r="A8" s="10" t="str">
        <f>HYPERLINK("https://vimeo.com/111032085","Adductor Mobilization")</f>
        <v>Adductor Mobilization</v>
      </c>
      <c r="B8" s="11" t="s">
        <v>6</v>
      </c>
      <c r="C8" s="4"/>
      <c r="D8" s="4"/>
      <c r="E8" s="4"/>
      <c r="F8" s="4"/>
      <c r="G8" s="4"/>
      <c r="H8" s="4"/>
      <c r="I8" s="4"/>
      <c r="J8" s="4"/>
      <c r="K8" s="4"/>
      <c r="L8" s="4"/>
      <c r="M8" s="4"/>
      <c r="N8" s="4"/>
      <c r="O8" s="4"/>
      <c r="P8" s="4"/>
      <c r="Q8" s="4"/>
      <c r="R8" s="4"/>
      <c r="S8" s="4"/>
      <c r="T8" s="4"/>
      <c r="U8" s="4"/>
      <c r="V8" s="4"/>
      <c r="W8" s="4"/>
      <c r="X8" s="4"/>
      <c r="Y8" s="4"/>
      <c r="Z8" s="4"/>
    </row>
    <row r="9" spans="1:26" ht="45" customHeight="1">
      <c r="A9" s="10" t="str">
        <f>HYPERLINK("https://vimeo.com/111032087","Alternating Barbell Split Jump")</f>
        <v>Alternating Barbell Split Jump</v>
      </c>
      <c r="B9" s="11" t="s">
        <v>150</v>
      </c>
      <c r="C9" s="4"/>
      <c r="D9" s="4"/>
      <c r="E9" s="4"/>
      <c r="F9" s="4"/>
      <c r="G9" s="4"/>
      <c r="H9" s="4"/>
      <c r="I9" s="4"/>
      <c r="J9" s="4"/>
      <c r="K9" s="4"/>
      <c r="L9" s="4"/>
      <c r="M9" s="4"/>
      <c r="N9" s="4"/>
      <c r="O9" s="4"/>
      <c r="P9" s="4"/>
      <c r="Q9" s="4"/>
      <c r="R9" s="4"/>
      <c r="S9" s="4"/>
      <c r="T9" s="4"/>
      <c r="U9" s="4"/>
      <c r="V9" s="4"/>
      <c r="W9" s="4"/>
      <c r="X9" s="4"/>
      <c r="Y9" s="4"/>
      <c r="Z9" s="4"/>
    </row>
    <row r="10" spans="1:26" ht="45" customHeight="1">
      <c r="A10" s="10" t="str">
        <f>HYPERLINK("https://vimeo.com/111032509","Alternating Bodyweight Split Jump")</f>
        <v>Alternating Bodyweight Split Jump</v>
      </c>
      <c r="B10" s="11" t="s">
        <v>150</v>
      </c>
      <c r="C10" s="4"/>
      <c r="D10" s="4"/>
      <c r="E10" s="4"/>
      <c r="F10" s="4"/>
      <c r="G10" s="4"/>
      <c r="H10" s="4"/>
      <c r="I10" s="4"/>
      <c r="J10" s="4"/>
      <c r="K10" s="4"/>
      <c r="L10" s="4"/>
      <c r="M10" s="4"/>
      <c r="N10" s="4"/>
      <c r="O10" s="4"/>
      <c r="P10" s="4"/>
      <c r="Q10" s="4"/>
      <c r="R10" s="4"/>
      <c r="S10" s="4"/>
      <c r="T10" s="4"/>
      <c r="U10" s="4"/>
      <c r="V10" s="4"/>
      <c r="W10" s="4"/>
      <c r="X10" s="4"/>
      <c r="Y10" s="4"/>
      <c r="Z10" s="4"/>
    </row>
    <row r="11" spans="1:26" ht="45" customHeight="1">
      <c r="A11" s="10" t="str">
        <f>HYPERLINK("https://vimeo.com/111032510","Alternating Dumbbell Bench Press")</f>
        <v>Alternating Dumbbell Bench Press</v>
      </c>
      <c r="B11" s="11" t="s">
        <v>88</v>
      </c>
      <c r="C11" s="4"/>
      <c r="D11" s="4"/>
      <c r="E11" s="4"/>
      <c r="F11" s="4"/>
      <c r="G11" s="4"/>
      <c r="H11" s="4"/>
      <c r="I11" s="4"/>
      <c r="J11" s="4"/>
      <c r="K11" s="4"/>
      <c r="L11" s="4"/>
      <c r="M11" s="4"/>
      <c r="N11" s="4"/>
      <c r="O11" s="4"/>
      <c r="P11" s="4"/>
      <c r="Q11" s="4"/>
      <c r="R11" s="4"/>
      <c r="S11" s="4"/>
      <c r="T11" s="4"/>
      <c r="U11" s="4"/>
      <c r="V11" s="4"/>
      <c r="W11" s="4"/>
      <c r="X11" s="4"/>
      <c r="Y11" s="4"/>
      <c r="Z11" s="4"/>
    </row>
    <row r="12" spans="1:26" ht="45" customHeight="1">
      <c r="A12" s="10" t="str">
        <f>HYPERLINK("https://vimeo.com/111032518","Alternating Dumbbell Curl")</f>
        <v>Alternating Dumbbell Curl</v>
      </c>
      <c r="B12" s="11" t="s">
        <v>151</v>
      </c>
      <c r="C12" s="4"/>
      <c r="D12" s="4"/>
      <c r="E12" s="4"/>
      <c r="F12" s="4"/>
      <c r="G12" s="4"/>
      <c r="H12" s="4"/>
      <c r="I12" s="4"/>
      <c r="J12" s="4"/>
      <c r="K12" s="4"/>
      <c r="L12" s="4"/>
      <c r="M12" s="4"/>
      <c r="N12" s="4"/>
      <c r="O12" s="4"/>
      <c r="P12" s="4"/>
      <c r="Q12" s="4"/>
      <c r="R12" s="4"/>
      <c r="S12" s="4"/>
      <c r="T12" s="4"/>
      <c r="U12" s="4"/>
      <c r="V12" s="4"/>
      <c r="W12" s="4"/>
      <c r="X12" s="4"/>
      <c r="Y12" s="4"/>
      <c r="Z12" s="4"/>
    </row>
    <row r="13" spans="1:26" ht="45" customHeight="1">
      <c r="A13" s="10" t="str">
        <f>HYPERLINK("https://vimeo.com/111032520","Alternating Dumbell Split Jump")</f>
        <v>Alternating Dumbell Split Jump</v>
      </c>
      <c r="B13" s="11" t="s">
        <v>150</v>
      </c>
      <c r="C13" s="4"/>
      <c r="D13" s="4"/>
      <c r="E13" s="4"/>
      <c r="F13" s="4"/>
      <c r="G13" s="4"/>
      <c r="H13" s="4"/>
      <c r="I13" s="4"/>
      <c r="J13" s="4"/>
      <c r="K13" s="4"/>
      <c r="L13" s="4"/>
      <c r="M13" s="4"/>
      <c r="N13" s="4"/>
      <c r="O13" s="4"/>
      <c r="P13" s="4"/>
      <c r="Q13" s="4"/>
      <c r="R13" s="4"/>
      <c r="S13" s="4"/>
      <c r="T13" s="4"/>
      <c r="U13" s="4"/>
      <c r="V13" s="4"/>
      <c r="W13" s="4"/>
      <c r="X13" s="4"/>
      <c r="Y13" s="4"/>
      <c r="Z13" s="4"/>
    </row>
    <row r="14" spans="1:26" ht="45" customHeight="1">
      <c r="A14" s="10" t="str">
        <f>HYPERLINK("https://vimeo.com/111032521","Alternating Goblet Reverse Lunge With Blocked Knee")</f>
        <v>Alternating Goblet Reverse Lunge With Blocked Knee</v>
      </c>
      <c r="B14" s="11" t="s">
        <v>43</v>
      </c>
      <c r="C14" s="4"/>
      <c r="D14" s="4"/>
      <c r="E14" s="4"/>
      <c r="F14" s="4"/>
      <c r="G14" s="4"/>
      <c r="H14" s="4"/>
      <c r="I14" s="4"/>
      <c r="J14" s="4"/>
      <c r="K14" s="4"/>
      <c r="L14" s="4"/>
      <c r="M14" s="4"/>
      <c r="N14" s="4"/>
      <c r="O14" s="4"/>
      <c r="P14" s="4"/>
      <c r="Q14" s="4"/>
      <c r="R14" s="4"/>
      <c r="S14" s="4"/>
      <c r="T14" s="4"/>
      <c r="U14" s="4"/>
      <c r="V14" s="4"/>
      <c r="W14" s="4"/>
      <c r="X14" s="4"/>
      <c r="Y14" s="4"/>
      <c r="Z14" s="4"/>
    </row>
    <row r="15" spans="1:26" ht="45" customHeight="1">
      <c r="A15" s="10" t="str">
        <f>HYPERLINK("https://vimeo.com/111032894","Alternating Lateral Lunge Walk")</f>
        <v>Alternating Lateral Lunge Walk</v>
      </c>
      <c r="B15" s="11" t="s">
        <v>43</v>
      </c>
      <c r="C15" s="4"/>
      <c r="D15" s="4"/>
      <c r="E15" s="4"/>
      <c r="F15" s="4"/>
      <c r="G15" s="4"/>
      <c r="H15" s="4"/>
      <c r="I15" s="4"/>
      <c r="J15" s="4"/>
      <c r="K15" s="4"/>
      <c r="L15" s="4"/>
      <c r="M15" s="4"/>
      <c r="N15" s="4"/>
      <c r="O15" s="4"/>
      <c r="P15" s="4"/>
      <c r="Q15" s="4"/>
      <c r="R15" s="4"/>
      <c r="S15" s="4"/>
      <c r="T15" s="4"/>
      <c r="U15" s="4"/>
      <c r="V15" s="4"/>
      <c r="W15" s="4"/>
      <c r="X15" s="4"/>
      <c r="Y15" s="4"/>
      <c r="Z15" s="4"/>
    </row>
    <row r="16" spans="1:26" ht="45" customHeight="1">
      <c r="A16" s="10" t="str">
        <f>HYPERLINK("https://vimeo.com/111032895","Anderson Front Squat")</f>
        <v>Anderson Front Squat</v>
      </c>
      <c r="B16" s="11" t="s">
        <v>131</v>
      </c>
      <c r="C16" s="4"/>
      <c r="D16" s="4"/>
      <c r="E16" s="4"/>
      <c r="F16" s="4"/>
      <c r="G16" s="4"/>
      <c r="H16" s="4"/>
      <c r="I16" s="4"/>
      <c r="J16" s="4"/>
      <c r="K16" s="4"/>
      <c r="L16" s="4"/>
      <c r="M16" s="4"/>
      <c r="N16" s="4"/>
      <c r="O16" s="4"/>
      <c r="P16" s="4"/>
      <c r="Q16" s="4"/>
      <c r="R16" s="4"/>
      <c r="S16" s="4"/>
      <c r="T16" s="4"/>
      <c r="U16" s="4"/>
      <c r="V16" s="4"/>
      <c r="W16" s="4"/>
      <c r="X16" s="4"/>
      <c r="Y16" s="4"/>
      <c r="Z16" s="4"/>
    </row>
    <row r="17" spans="1:26" ht="45" customHeight="1">
      <c r="A17" s="10" t="str">
        <f>HYPERLINK("https://vimeo.com/111032898","Assisted Bodyweight Squat to Box")</f>
        <v>Assisted Bodyweight Squat to Box</v>
      </c>
      <c r="B17" s="4" t="s">
        <v>127</v>
      </c>
      <c r="C17" s="4"/>
      <c r="D17" s="4"/>
      <c r="E17" s="4"/>
      <c r="F17" s="4"/>
      <c r="G17" s="4"/>
      <c r="H17" s="4"/>
      <c r="I17" s="4"/>
      <c r="J17" s="4"/>
      <c r="K17" s="4"/>
      <c r="L17" s="4"/>
      <c r="M17" s="4"/>
      <c r="N17" s="4"/>
      <c r="O17" s="4"/>
      <c r="P17" s="4"/>
      <c r="Q17" s="4"/>
      <c r="R17" s="4"/>
      <c r="S17" s="4"/>
      <c r="T17" s="4"/>
      <c r="U17" s="4"/>
      <c r="V17" s="4"/>
      <c r="W17" s="4"/>
      <c r="X17" s="4"/>
      <c r="Y17" s="4"/>
      <c r="Z17" s="4"/>
    </row>
    <row r="18" spans="1:26" ht="45" customHeight="1">
      <c r="A18" s="10" t="str">
        <f>HYPERLINK("https://vimeo.com/111032900","Assisted Lateral Squat")</f>
        <v>Assisted Lateral Squat</v>
      </c>
      <c r="B18" s="4" t="s">
        <v>126</v>
      </c>
      <c r="C18" s="4"/>
      <c r="D18" s="4"/>
      <c r="E18" s="4"/>
      <c r="F18" s="4"/>
      <c r="G18" s="4"/>
      <c r="H18" s="4"/>
      <c r="I18" s="4"/>
      <c r="J18" s="4"/>
      <c r="K18" s="4"/>
      <c r="L18" s="4"/>
      <c r="M18" s="4"/>
      <c r="N18" s="4"/>
      <c r="O18" s="4"/>
      <c r="P18" s="4"/>
      <c r="Q18" s="4"/>
      <c r="R18" s="4"/>
      <c r="S18" s="4"/>
      <c r="T18" s="4"/>
      <c r="U18" s="4"/>
      <c r="V18" s="4"/>
      <c r="W18" s="4"/>
      <c r="X18" s="4"/>
      <c r="Y18" s="4"/>
      <c r="Z18" s="4"/>
    </row>
    <row r="19" spans="1:26" ht="45" customHeight="1">
      <c r="A19" s="10" t="str">
        <f>HYPERLINK("https://vimeo.com/111032901","Assisted Reverse Lunge With Blocked Knee")</f>
        <v>Assisted Reverse Lunge With Blocked Knee</v>
      </c>
      <c r="B19" s="11" t="s">
        <v>133</v>
      </c>
      <c r="C19" s="4"/>
      <c r="D19" s="4"/>
      <c r="E19" s="4"/>
      <c r="F19" s="4"/>
      <c r="G19" s="4"/>
      <c r="H19" s="4"/>
      <c r="I19" s="4"/>
      <c r="J19" s="4"/>
      <c r="K19" s="4"/>
      <c r="L19" s="4"/>
      <c r="M19" s="4"/>
      <c r="N19" s="4"/>
      <c r="O19" s="4"/>
      <c r="P19" s="4"/>
      <c r="Q19" s="4"/>
      <c r="R19" s="4"/>
      <c r="S19" s="4"/>
      <c r="T19" s="4"/>
      <c r="U19" s="4"/>
      <c r="V19" s="4"/>
      <c r="W19" s="4"/>
      <c r="X19" s="4"/>
      <c r="Y19" s="4"/>
      <c r="Z19" s="4"/>
    </row>
    <row r="20" spans="1:26" ht="45" customHeight="1">
      <c r="A20" s="10" t="str">
        <f>HYPERLINK("https://vimeo.com/111033314","Band Press-Down")</f>
        <v>Band Press-Down</v>
      </c>
      <c r="B20" s="11" t="s">
        <v>154</v>
      </c>
      <c r="C20" s="4"/>
      <c r="D20" s="4"/>
      <c r="E20" s="4"/>
      <c r="F20" s="4"/>
      <c r="G20" s="4"/>
      <c r="H20" s="4"/>
      <c r="I20" s="4"/>
      <c r="J20" s="4"/>
      <c r="K20" s="4"/>
      <c r="L20" s="4"/>
      <c r="M20" s="4"/>
      <c r="N20" s="4"/>
      <c r="O20" s="4"/>
      <c r="P20" s="4"/>
      <c r="Q20" s="4"/>
      <c r="R20" s="4"/>
      <c r="S20" s="4"/>
      <c r="T20" s="4"/>
      <c r="U20" s="4"/>
      <c r="V20" s="4"/>
      <c r="W20" s="4"/>
      <c r="X20" s="4"/>
      <c r="Y20" s="4"/>
      <c r="Z20" s="4"/>
    </row>
    <row r="21" spans="1:26" ht="45" customHeight="1">
      <c r="A21" s="10" t="str">
        <f>HYPERLINK("https://vimeo.com/111033315","Band Pull-Apart")</f>
        <v>Band Pull-Apart</v>
      </c>
      <c r="B21" s="11" t="s">
        <v>160</v>
      </c>
      <c r="C21" s="4"/>
      <c r="D21" s="4"/>
      <c r="E21" s="4"/>
      <c r="F21" s="4"/>
      <c r="G21" s="4"/>
      <c r="H21" s="4"/>
      <c r="I21" s="4"/>
      <c r="J21" s="4"/>
      <c r="K21" s="4"/>
      <c r="L21" s="4"/>
      <c r="M21" s="4"/>
      <c r="N21" s="4"/>
      <c r="O21" s="4"/>
      <c r="P21" s="4"/>
      <c r="Q21" s="4"/>
      <c r="R21" s="4"/>
      <c r="S21" s="4"/>
      <c r="T21" s="4"/>
      <c r="U21" s="4"/>
      <c r="V21" s="4"/>
      <c r="W21" s="4"/>
      <c r="X21" s="4"/>
      <c r="Y21" s="4"/>
      <c r="Z21" s="4"/>
    </row>
    <row r="22" spans="1:26" ht="45" customHeight="1">
      <c r="A22" s="10" t="str">
        <f>HYPERLINK("https://vimeo.com/111033318","Band Stomp")</f>
        <v>Band Stomp</v>
      </c>
      <c r="B22" s="11" t="s">
        <v>186</v>
      </c>
      <c r="C22" s="4"/>
      <c r="D22" s="4"/>
      <c r="E22" s="4"/>
      <c r="F22" s="4"/>
      <c r="G22" s="4"/>
      <c r="H22" s="4"/>
      <c r="I22" s="4"/>
      <c r="J22" s="4"/>
      <c r="K22" s="4"/>
      <c r="L22" s="4"/>
      <c r="M22" s="4"/>
      <c r="N22" s="4"/>
      <c r="O22" s="4"/>
      <c r="P22" s="4"/>
      <c r="Q22" s="4"/>
      <c r="R22" s="4"/>
      <c r="S22" s="4"/>
      <c r="T22" s="4"/>
      <c r="U22" s="4"/>
      <c r="V22" s="4"/>
      <c r="W22" s="4"/>
      <c r="X22" s="4"/>
      <c r="Y22" s="4"/>
      <c r="Z22" s="4"/>
    </row>
    <row r="23" spans="1:26" ht="45" customHeight="1">
      <c r="A23" s="10" t="str">
        <f>HYPERLINK("https://vimeo.com/111033322","Band-Assisted Chin-Up")</f>
        <v>Band-Assisted Chin-Up</v>
      </c>
      <c r="B23" s="11" t="s">
        <v>121</v>
      </c>
      <c r="C23" s="4"/>
      <c r="D23" s="4"/>
      <c r="E23" s="4"/>
      <c r="F23" s="4"/>
      <c r="G23" s="4"/>
      <c r="H23" s="4"/>
      <c r="I23" s="4"/>
      <c r="J23" s="4"/>
      <c r="K23" s="4"/>
      <c r="L23" s="4"/>
      <c r="M23" s="4"/>
      <c r="N23" s="4"/>
      <c r="O23" s="4"/>
      <c r="P23" s="4"/>
      <c r="Q23" s="4"/>
      <c r="R23" s="4"/>
      <c r="S23" s="4"/>
      <c r="T23" s="4"/>
      <c r="U23" s="4"/>
      <c r="V23" s="4"/>
      <c r="W23" s="4"/>
      <c r="X23" s="4"/>
      <c r="Y23" s="4"/>
      <c r="Z23" s="4"/>
    </row>
    <row r="24" spans="1:26" ht="45" customHeight="1">
      <c r="A24" s="10" t="str">
        <f>HYPERLINK("https://vimeo.com/111033323","Band-Assisted Inverted Row")</f>
        <v>Band-Assisted Inverted Row</v>
      </c>
      <c r="B24" s="11" t="s">
        <v>109</v>
      </c>
      <c r="C24" s="4"/>
      <c r="D24" s="4"/>
      <c r="E24" s="4"/>
      <c r="F24" s="4"/>
      <c r="G24" s="4"/>
      <c r="H24" s="4"/>
      <c r="I24" s="4"/>
      <c r="J24" s="4"/>
      <c r="K24" s="4"/>
      <c r="L24" s="4"/>
      <c r="M24" s="4"/>
      <c r="N24" s="4"/>
      <c r="O24" s="4"/>
      <c r="P24" s="4"/>
      <c r="Q24" s="4"/>
      <c r="R24" s="4"/>
      <c r="S24" s="4"/>
      <c r="T24" s="4"/>
      <c r="U24" s="4"/>
      <c r="V24" s="4"/>
      <c r="W24" s="4"/>
      <c r="X24" s="4"/>
      <c r="Y24" s="4"/>
      <c r="Z24" s="4"/>
    </row>
    <row r="25" spans="1:26" ht="45" customHeight="1">
      <c r="A25" s="10" t="str">
        <f>HYPERLINK("https://vimeo.com/111033878","Band-Assisted Neutral-Grip Pull-Up")</f>
        <v>Band-Assisted Neutral-Grip Pull-Up</v>
      </c>
      <c r="B25" s="11" t="s">
        <v>121</v>
      </c>
      <c r="C25" s="4"/>
      <c r="D25" s="4"/>
      <c r="E25" s="4"/>
      <c r="F25" s="4"/>
      <c r="G25" s="4"/>
      <c r="H25" s="4"/>
      <c r="I25" s="4"/>
      <c r="J25" s="4"/>
      <c r="K25" s="4"/>
      <c r="L25" s="4"/>
      <c r="M25" s="4"/>
      <c r="N25" s="4"/>
      <c r="O25" s="4"/>
      <c r="P25" s="4"/>
      <c r="Q25" s="4"/>
      <c r="R25" s="4"/>
      <c r="S25" s="4"/>
      <c r="T25" s="4"/>
      <c r="U25" s="4"/>
      <c r="V25" s="4"/>
      <c r="W25" s="4"/>
      <c r="X25" s="4"/>
      <c r="Y25" s="4"/>
      <c r="Z25" s="4"/>
    </row>
    <row r="26" spans="1:26" ht="45" customHeight="1">
      <c r="A26" s="10" t="str">
        <f>HYPERLINK("https://vimeo.com/111033880","Band-Assisted Pull-Up")</f>
        <v>Band-Assisted Pull-Up</v>
      </c>
      <c r="B26" s="11" t="s">
        <v>121</v>
      </c>
      <c r="C26" s="4"/>
      <c r="D26" s="4"/>
      <c r="E26" s="4"/>
      <c r="F26" s="4"/>
      <c r="G26" s="4"/>
      <c r="H26" s="4"/>
      <c r="I26" s="4"/>
      <c r="J26" s="4"/>
      <c r="K26" s="4"/>
      <c r="L26" s="4"/>
      <c r="M26" s="4"/>
      <c r="N26" s="4"/>
      <c r="O26" s="4"/>
      <c r="P26" s="4"/>
      <c r="Q26" s="4"/>
      <c r="R26" s="4"/>
      <c r="S26" s="4"/>
      <c r="T26" s="4"/>
      <c r="U26" s="4"/>
      <c r="V26" s="4"/>
      <c r="W26" s="4"/>
      <c r="X26" s="4"/>
      <c r="Y26" s="4"/>
      <c r="Z26" s="4"/>
    </row>
    <row r="27" spans="1:26" ht="45" customHeight="1">
      <c r="A27" s="10" t="str">
        <f>HYPERLINK("https://vimeo.com/111033881","Band-Assisted Pushup")</f>
        <v>Band-Assisted Pushup</v>
      </c>
      <c r="B27" s="11" t="s">
        <v>89</v>
      </c>
      <c r="C27" s="4"/>
      <c r="D27" s="4"/>
      <c r="E27" s="4"/>
      <c r="F27" s="4"/>
      <c r="G27" s="4"/>
      <c r="H27" s="4"/>
      <c r="I27" s="4"/>
      <c r="J27" s="4"/>
      <c r="K27" s="4"/>
      <c r="L27" s="4"/>
      <c r="M27" s="4"/>
      <c r="N27" s="4"/>
      <c r="O27" s="4"/>
      <c r="P27" s="4"/>
      <c r="Q27" s="4"/>
      <c r="R27" s="4"/>
      <c r="S27" s="4"/>
      <c r="T27" s="4"/>
      <c r="U27" s="4"/>
      <c r="V27" s="4"/>
      <c r="W27" s="4"/>
      <c r="X27" s="4"/>
      <c r="Y27" s="4"/>
      <c r="Z27" s="4"/>
    </row>
    <row r="28" spans="1:26" ht="45" customHeight="1">
      <c r="A28" s="10" t="str">
        <f>HYPERLINK("https://vimeo.com/111033883","Band-Resisted Ab Wheel Iso")</f>
        <v>Band-Resisted Ab Wheel Iso</v>
      </c>
      <c r="B28" s="4" t="s">
        <v>52</v>
      </c>
      <c r="C28" s="4"/>
      <c r="D28" s="4"/>
      <c r="E28" s="4"/>
      <c r="F28" s="4"/>
      <c r="G28" s="4"/>
      <c r="H28" s="4"/>
      <c r="I28" s="4"/>
      <c r="J28" s="4"/>
      <c r="K28" s="4"/>
      <c r="L28" s="4"/>
      <c r="M28" s="4"/>
      <c r="N28" s="4"/>
      <c r="O28" s="4"/>
      <c r="P28" s="4"/>
      <c r="Q28" s="4"/>
      <c r="R28" s="4"/>
      <c r="S28" s="4"/>
      <c r="T28" s="4"/>
      <c r="U28" s="4"/>
      <c r="V28" s="4"/>
      <c r="W28" s="4"/>
      <c r="X28" s="4"/>
      <c r="Y28" s="4"/>
      <c r="Z28" s="4"/>
    </row>
    <row r="29" spans="1:26" ht="45" customHeight="1">
      <c r="A29" s="10" t="str">
        <f>HYPERLINK("https://vimeo.com/111033887","Band-Resisted Glute Bridge")</f>
        <v>Band-Resisted Glute Bridge</v>
      </c>
      <c r="B29" s="11" t="s">
        <v>146</v>
      </c>
      <c r="C29" s="4"/>
      <c r="D29" s="4"/>
      <c r="E29" s="4"/>
      <c r="F29" s="4"/>
      <c r="G29" s="4"/>
      <c r="H29" s="4"/>
      <c r="I29" s="4"/>
      <c r="J29" s="4"/>
      <c r="K29" s="4"/>
      <c r="L29" s="4"/>
      <c r="M29" s="4"/>
      <c r="N29" s="4"/>
      <c r="O29" s="4"/>
      <c r="P29" s="4"/>
      <c r="Q29" s="4"/>
      <c r="R29" s="4"/>
      <c r="S29" s="4"/>
      <c r="T29" s="4"/>
      <c r="U29" s="4"/>
      <c r="V29" s="4"/>
      <c r="W29" s="4"/>
      <c r="X29" s="4"/>
      <c r="Y29" s="4"/>
      <c r="Z29" s="4"/>
    </row>
    <row r="30" spans="1:26" ht="45" customHeight="1">
      <c r="A30" s="10" t="str">
        <f>HYPERLINK("https://vimeo.com/111035086","Band-Resisted Goblet Squat")</f>
        <v>Band-Resisted Goblet Squat</v>
      </c>
      <c r="B30" s="11" t="s">
        <v>130</v>
      </c>
      <c r="C30" s="4"/>
      <c r="D30" s="4"/>
      <c r="E30" s="4"/>
      <c r="F30" s="4"/>
      <c r="G30" s="4"/>
      <c r="H30" s="4"/>
      <c r="I30" s="4"/>
      <c r="J30" s="4"/>
      <c r="K30" s="4"/>
      <c r="L30" s="4"/>
      <c r="M30" s="4"/>
      <c r="N30" s="4"/>
      <c r="O30" s="4"/>
      <c r="P30" s="4"/>
      <c r="Q30" s="4"/>
      <c r="R30" s="4"/>
      <c r="S30" s="4"/>
      <c r="T30" s="4"/>
      <c r="U30" s="4"/>
      <c r="V30" s="4"/>
      <c r="W30" s="4"/>
      <c r="X30" s="4"/>
      <c r="Y30" s="4"/>
      <c r="Z30" s="4"/>
    </row>
    <row r="31" spans="1:26" ht="45" customHeight="1">
      <c r="A31" s="10" t="str">
        <f>HYPERLINK("https://vimeo.com/111035089","Band-Resisted Pull-Up")</f>
        <v>Band-Resisted Pull-Up</v>
      </c>
      <c r="B31" s="11" t="s">
        <v>121</v>
      </c>
      <c r="C31" s="4"/>
      <c r="D31" s="4"/>
      <c r="E31" s="4"/>
      <c r="F31" s="4"/>
      <c r="G31" s="4"/>
      <c r="H31" s="4"/>
      <c r="I31" s="4"/>
      <c r="J31" s="4"/>
      <c r="K31" s="4"/>
      <c r="L31" s="4"/>
      <c r="M31" s="4"/>
      <c r="N31" s="4"/>
      <c r="O31" s="4"/>
      <c r="P31" s="4"/>
      <c r="Q31" s="4"/>
      <c r="R31" s="4"/>
      <c r="S31" s="4"/>
      <c r="T31" s="4"/>
      <c r="U31" s="4"/>
      <c r="V31" s="4"/>
      <c r="W31" s="4"/>
      <c r="X31" s="4"/>
      <c r="Y31" s="4"/>
      <c r="Z31" s="4"/>
    </row>
    <row r="32" spans="1:26" ht="45" customHeight="1">
      <c r="A32" s="10" t="str">
        <f>HYPERLINK("https://vimeo.com/111035090","Band-Resisted Pushup")</f>
        <v>Band-Resisted Pushup</v>
      </c>
      <c r="B32" s="11" t="s">
        <v>89</v>
      </c>
      <c r="C32" s="4"/>
      <c r="D32" s="4"/>
      <c r="E32" s="4"/>
      <c r="F32" s="4"/>
      <c r="G32" s="4"/>
      <c r="H32" s="4"/>
      <c r="I32" s="4"/>
      <c r="J32" s="4"/>
      <c r="K32" s="4"/>
      <c r="L32" s="4"/>
      <c r="M32" s="4"/>
      <c r="N32" s="4"/>
      <c r="O32" s="4"/>
      <c r="P32" s="4"/>
      <c r="Q32" s="4"/>
      <c r="R32" s="4"/>
      <c r="S32" s="4"/>
      <c r="T32" s="4"/>
      <c r="U32" s="4"/>
      <c r="V32" s="4"/>
      <c r="W32" s="4"/>
      <c r="X32" s="4"/>
      <c r="Y32" s="4"/>
      <c r="Z32" s="4"/>
    </row>
    <row r="33" spans="1:26" ht="45" customHeight="1">
      <c r="A33" s="10" t="str">
        <f>HYPERLINK("https://vimeo.com/111035093","Band-Resisted Ring Pushup")</f>
        <v>Band-Resisted Ring Pushup</v>
      </c>
      <c r="B33" s="11" t="s">
        <v>89</v>
      </c>
      <c r="C33" s="4"/>
      <c r="D33" s="4"/>
      <c r="E33" s="4"/>
      <c r="F33" s="4"/>
      <c r="G33" s="4"/>
      <c r="H33" s="4"/>
      <c r="I33" s="4"/>
      <c r="J33" s="4"/>
      <c r="K33" s="4"/>
      <c r="L33" s="4"/>
      <c r="M33" s="4"/>
      <c r="N33" s="4"/>
      <c r="O33" s="4"/>
      <c r="P33" s="4"/>
      <c r="Q33" s="4"/>
      <c r="R33" s="4"/>
      <c r="S33" s="4"/>
      <c r="T33" s="4"/>
      <c r="U33" s="4"/>
      <c r="V33" s="4"/>
      <c r="W33" s="4"/>
      <c r="X33" s="4"/>
      <c r="Y33" s="4"/>
      <c r="Z33" s="4"/>
    </row>
    <row r="34" spans="1:26" ht="45" customHeight="1">
      <c r="A34" s="10" t="str">
        <f>HYPERLINK("https://vimeo.com/111035094","Band-Resisted Scapular Pushup")</f>
        <v>Band-Resisted Scapular Pushup</v>
      </c>
      <c r="B34" s="11" t="s">
        <v>168</v>
      </c>
      <c r="C34" s="4"/>
      <c r="D34" s="4"/>
      <c r="E34" s="4"/>
      <c r="F34" s="4"/>
      <c r="G34" s="4"/>
      <c r="H34" s="4"/>
      <c r="I34" s="4"/>
      <c r="J34" s="4"/>
      <c r="K34" s="4"/>
      <c r="L34" s="4"/>
      <c r="M34" s="4"/>
      <c r="N34" s="4"/>
      <c r="O34" s="4"/>
      <c r="P34" s="4"/>
      <c r="Q34" s="4"/>
      <c r="R34" s="4"/>
      <c r="S34" s="4"/>
      <c r="T34" s="4"/>
      <c r="U34" s="4"/>
      <c r="V34" s="4"/>
      <c r="W34" s="4"/>
      <c r="X34" s="4"/>
      <c r="Y34" s="4"/>
      <c r="Z34" s="4"/>
    </row>
    <row r="35" spans="1:26" ht="45" customHeight="1">
      <c r="A35" s="10" t="str">
        <f>HYPERLINK("https://vimeo.com/111035492","Band-Resisted Squat")</f>
        <v>Band-Resisted Squat</v>
      </c>
      <c r="B35" s="4" t="s">
        <v>128</v>
      </c>
      <c r="C35" s="4"/>
      <c r="D35" s="4"/>
      <c r="E35" s="4"/>
      <c r="F35" s="4"/>
      <c r="G35" s="4"/>
      <c r="H35" s="4"/>
      <c r="I35" s="4"/>
      <c r="J35" s="4"/>
      <c r="K35" s="4"/>
      <c r="L35" s="4"/>
      <c r="M35" s="4"/>
      <c r="N35" s="4"/>
      <c r="O35" s="4"/>
      <c r="P35" s="4"/>
      <c r="Q35" s="4"/>
      <c r="R35" s="4"/>
      <c r="S35" s="4"/>
      <c r="T35" s="4"/>
      <c r="U35" s="4"/>
      <c r="V35" s="4"/>
      <c r="W35" s="4"/>
      <c r="X35" s="4"/>
      <c r="Y35" s="4"/>
      <c r="Z35" s="4"/>
    </row>
    <row r="36" spans="1:26" ht="45" customHeight="1">
      <c r="A36" s="10" t="str">
        <f>HYPERLINK("https://vimeo.com/111035494","Banded Curl")</f>
        <v>Banded Curl</v>
      </c>
      <c r="B36" s="11" t="s">
        <v>152</v>
      </c>
      <c r="C36" s="4"/>
      <c r="D36" s="4"/>
      <c r="E36" s="4"/>
      <c r="F36" s="4"/>
      <c r="G36" s="4"/>
      <c r="H36" s="4"/>
      <c r="I36" s="4"/>
      <c r="J36" s="4"/>
      <c r="K36" s="4"/>
      <c r="L36" s="4"/>
      <c r="M36" s="4"/>
      <c r="N36" s="4"/>
      <c r="O36" s="4"/>
      <c r="P36" s="4"/>
      <c r="Q36" s="4"/>
      <c r="R36" s="4"/>
      <c r="S36" s="4"/>
      <c r="T36" s="4"/>
      <c r="U36" s="4"/>
      <c r="V36" s="4"/>
      <c r="W36" s="4"/>
      <c r="X36" s="4"/>
      <c r="Y36" s="4"/>
      <c r="Z36" s="4"/>
    </row>
    <row r="37" spans="1:26" ht="45" customHeight="1">
      <c r="A37" s="10" t="str">
        <f>HYPERLINK("https://vimeo.com/111035497","Banded External Rotation at 30 Degrees Abduction")</f>
        <v>Banded External Rotation at 30 Degrees Abduction</v>
      </c>
      <c r="B37" s="11" t="s">
        <v>161</v>
      </c>
      <c r="C37" s="4"/>
      <c r="D37" s="4"/>
      <c r="E37" s="4"/>
      <c r="F37" s="4"/>
      <c r="G37" s="4"/>
      <c r="H37" s="4"/>
      <c r="I37" s="4"/>
      <c r="J37" s="4"/>
      <c r="K37" s="4"/>
      <c r="L37" s="4"/>
      <c r="M37" s="4"/>
      <c r="N37" s="4"/>
      <c r="O37" s="4"/>
      <c r="P37" s="4"/>
      <c r="Q37" s="4"/>
      <c r="R37" s="4"/>
      <c r="S37" s="4"/>
      <c r="T37" s="4"/>
      <c r="U37" s="4"/>
      <c r="V37" s="4"/>
      <c r="W37" s="4"/>
      <c r="X37" s="4"/>
      <c r="Y37" s="4"/>
      <c r="Z37" s="4"/>
    </row>
    <row r="38" spans="1:26" ht="45" customHeight="1">
      <c r="A38" s="10" t="str">
        <f>HYPERLINK("https://vimeo.com/111035498","Banded External Rotation at 90 Degrees Abduction")</f>
        <v>Banded External Rotation at 90 Degrees Abduction</v>
      </c>
      <c r="B38" s="11" t="s">
        <v>161</v>
      </c>
      <c r="C38" s="4"/>
      <c r="D38" s="4"/>
      <c r="E38" s="4"/>
      <c r="F38" s="4"/>
      <c r="G38" s="4"/>
      <c r="H38" s="4"/>
      <c r="I38" s="4"/>
      <c r="J38" s="4"/>
      <c r="K38" s="4"/>
      <c r="L38" s="4"/>
      <c r="M38" s="4"/>
      <c r="N38" s="4"/>
      <c r="O38" s="4"/>
      <c r="P38" s="4"/>
      <c r="Q38" s="4"/>
      <c r="R38" s="4"/>
      <c r="S38" s="4"/>
      <c r="T38" s="4"/>
      <c r="U38" s="4"/>
      <c r="V38" s="4"/>
      <c r="W38" s="4"/>
      <c r="X38" s="4"/>
      <c r="Y38" s="4"/>
      <c r="Z38" s="4"/>
    </row>
    <row r="39" spans="1:26" ht="45" customHeight="1">
      <c r="A39" s="10" t="str">
        <f>HYPERLINK("https://vimeo.com/111035500","Banded Face Pull")</f>
        <v>Banded Face Pull</v>
      </c>
      <c r="B39" s="11" t="s">
        <v>162</v>
      </c>
      <c r="C39" s="4"/>
      <c r="D39" s="4"/>
      <c r="E39" s="4"/>
      <c r="F39" s="4"/>
      <c r="G39" s="4"/>
      <c r="H39" s="4"/>
      <c r="I39" s="4"/>
      <c r="J39" s="4"/>
      <c r="K39" s="4"/>
      <c r="L39" s="4"/>
      <c r="M39" s="4"/>
      <c r="N39" s="4"/>
      <c r="O39" s="4"/>
      <c r="P39" s="4"/>
      <c r="Q39" s="4"/>
      <c r="R39" s="4"/>
      <c r="S39" s="4"/>
      <c r="T39" s="4"/>
      <c r="U39" s="4"/>
      <c r="V39" s="4"/>
      <c r="W39" s="4"/>
      <c r="X39" s="4"/>
      <c r="Y39" s="4"/>
      <c r="Z39" s="4"/>
    </row>
    <row r="40" spans="1:26" ht="45" customHeight="1">
      <c r="A40" s="10" t="str">
        <f>HYPERLINK("https://vimeo.com/111036342","Banded Hip Extension")</f>
        <v>Banded Hip Extension</v>
      </c>
      <c r="B40" s="11" t="s">
        <v>187</v>
      </c>
      <c r="C40" s="4"/>
      <c r="D40" s="4"/>
      <c r="E40" s="4"/>
      <c r="F40" s="4"/>
      <c r="G40" s="4"/>
      <c r="H40" s="4"/>
      <c r="I40" s="4"/>
      <c r="J40" s="4"/>
      <c r="K40" s="4"/>
      <c r="L40" s="4"/>
      <c r="M40" s="4"/>
      <c r="N40" s="4"/>
      <c r="O40" s="4"/>
      <c r="P40" s="4"/>
      <c r="Q40" s="4"/>
      <c r="R40" s="4"/>
      <c r="S40" s="4"/>
      <c r="T40" s="4"/>
      <c r="U40" s="4"/>
      <c r="V40" s="4"/>
      <c r="W40" s="4"/>
      <c r="X40" s="4"/>
      <c r="Y40" s="4"/>
      <c r="Z40" s="4"/>
    </row>
    <row r="41" spans="1:26" ht="45" customHeight="1">
      <c r="A41" s="10" t="str">
        <f>HYPERLINK("https://vimeo.com/111036343","Banded No Money")</f>
        <v>Banded No Money</v>
      </c>
      <c r="B41" s="11" t="s">
        <v>30</v>
      </c>
      <c r="C41" s="4"/>
      <c r="D41" s="4"/>
      <c r="E41" s="4"/>
      <c r="F41" s="4"/>
      <c r="G41" s="4"/>
      <c r="H41" s="4"/>
      <c r="I41" s="4"/>
      <c r="J41" s="4"/>
      <c r="K41" s="4"/>
      <c r="L41" s="4"/>
      <c r="M41" s="4"/>
      <c r="N41" s="4"/>
      <c r="O41" s="4"/>
      <c r="P41" s="4"/>
      <c r="Q41" s="4"/>
      <c r="R41" s="4"/>
      <c r="S41" s="4"/>
      <c r="T41" s="4"/>
      <c r="U41" s="4"/>
      <c r="V41" s="4"/>
      <c r="W41" s="4"/>
      <c r="X41" s="4"/>
      <c r="Y41" s="4"/>
      <c r="Z41" s="4"/>
    </row>
    <row r="42" spans="1:26" ht="45" customHeight="1">
      <c r="A42" s="10" t="str">
        <f>HYPERLINK("https://vimeo.com/111036344","Banded Pull-Down")</f>
        <v>Banded Pull-Down</v>
      </c>
      <c r="B42" s="11" t="s">
        <v>122</v>
      </c>
      <c r="C42" s="4"/>
      <c r="D42" s="4"/>
      <c r="E42" s="4"/>
      <c r="F42" s="4"/>
      <c r="G42" s="4"/>
      <c r="H42" s="4"/>
      <c r="I42" s="4"/>
      <c r="J42" s="4"/>
      <c r="K42" s="4"/>
      <c r="L42" s="4"/>
      <c r="M42" s="4"/>
      <c r="N42" s="4"/>
      <c r="O42" s="4"/>
      <c r="P42" s="4"/>
      <c r="Q42" s="4"/>
      <c r="R42" s="4"/>
      <c r="S42" s="4"/>
      <c r="T42" s="4"/>
      <c r="U42" s="4"/>
      <c r="V42" s="4"/>
      <c r="W42" s="4"/>
      <c r="X42" s="4"/>
      <c r="Y42" s="4"/>
      <c r="Z42" s="4"/>
    </row>
    <row r="43" spans="1:26" ht="45" customHeight="1">
      <c r="A43" s="10" t="str">
        <f>HYPERLINK("https://vimeo.com/111036345","Banded Scapular Protraction")</f>
        <v>Banded Scapular Protraction</v>
      </c>
      <c r="B43" s="11" t="s">
        <v>163</v>
      </c>
      <c r="C43" s="4"/>
      <c r="D43" s="4"/>
      <c r="E43" s="4"/>
      <c r="F43" s="4"/>
      <c r="G43" s="4"/>
      <c r="H43" s="4"/>
      <c r="I43" s="4"/>
      <c r="J43" s="4"/>
      <c r="K43" s="4"/>
      <c r="L43" s="4"/>
      <c r="M43" s="4"/>
      <c r="N43" s="4"/>
      <c r="O43" s="4"/>
      <c r="P43" s="4"/>
      <c r="Q43" s="4"/>
      <c r="R43" s="4"/>
      <c r="S43" s="4"/>
      <c r="T43" s="4"/>
      <c r="U43" s="4"/>
      <c r="V43" s="4"/>
      <c r="W43" s="4"/>
      <c r="X43" s="4"/>
      <c r="Y43" s="4"/>
      <c r="Z43" s="4"/>
    </row>
    <row r="44" spans="1:26" ht="45" customHeight="1">
      <c r="A44" s="10" t="str">
        <f>HYPERLINK("https://vimeo.com/111036346","Barbell Back Squat")</f>
        <v>Barbell Back Squat</v>
      </c>
      <c r="B44" s="11" t="s">
        <v>188</v>
      </c>
      <c r="C44" s="4"/>
      <c r="D44" s="4"/>
      <c r="E44" s="4"/>
      <c r="F44" s="4"/>
      <c r="G44" s="4"/>
      <c r="H44" s="4"/>
      <c r="I44" s="4"/>
      <c r="J44" s="4"/>
      <c r="K44" s="4"/>
      <c r="L44" s="4"/>
      <c r="M44" s="4"/>
      <c r="N44" s="4"/>
      <c r="O44" s="4"/>
      <c r="P44" s="4"/>
      <c r="Q44" s="4"/>
      <c r="R44" s="4"/>
      <c r="S44" s="4"/>
      <c r="T44" s="4"/>
      <c r="U44" s="4"/>
      <c r="V44" s="4"/>
      <c r="W44" s="4"/>
      <c r="X44" s="4"/>
      <c r="Y44" s="4"/>
      <c r="Z44" s="4"/>
    </row>
    <row r="45" spans="1:26" ht="45" customHeight="1">
      <c r="A45" s="10" t="str">
        <f>HYPERLINK("https://vimeo.com/111040669","Barbell Bench Press")</f>
        <v>Barbell Bench Press</v>
      </c>
      <c r="B45" s="11" t="s">
        <v>86</v>
      </c>
      <c r="C45" s="4"/>
      <c r="D45" s="4"/>
      <c r="E45" s="4"/>
      <c r="F45" s="4"/>
      <c r="G45" s="4"/>
      <c r="H45" s="4"/>
      <c r="I45" s="4"/>
      <c r="J45" s="4"/>
      <c r="K45" s="4"/>
      <c r="L45" s="4"/>
      <c r="M45" s="4"/>
      <c r="N45" s="4"/>
      <c r="O45" s="4"/>
      <c r="P45" s="4"/>
      <c r="Q45" s="4"/>
      <c r="R45" s="4"/>
      <c r="S45" s="4"/>
      <c r="T45" s="4"/>
      <c r="U45" s="4"/>
      <c r="V45" s="4"/>
      <c r="W45" s="4"/>
      <c r="X45" s="4"/>
      <c r="Y45" s="4"/>
      <c r="Z45" s="4"/>
    </row>
    <row r="46" spans="1:26" ht="45" customHeight="1">
      <c r="A46" s="10" t="str">
        <f>HYPERLINK("https://vimeo.com/111040671","Barbell Bench Press From Pins")</f>
        <v>Barbell Bench Press From Pins</v>
      </c>
      <c r="B46" s="11" t="s">
        <v>86</v>
      </c>
      <c r="C46" s="4"/>
      <c r="D46" s="4"/>
      <c r="E46" s="4"/>
      <c r="F46" s="4"/>
      <c r="G46" s="4"/>
      <c r="H46" s="4"/>
      <c r="I46" s="4"/>
      <c r="J46" s="4"/>
      <c r="K46" s="4"/>
      <c r="L46" s="4"/>
      <c r="M46" s="4"/>
      <c r="N46" s="4"/>
      <c r="O46" s="4"/>
      <c r="P46" s="4"/>
      <c r="Q46" s="4"/>
      <c r="R46" s="4"/>
      <c r="S46" s="4"/>
      <c r="T46" s="4"/>
      <c r="U46" s="4"/>
      <c r="V46" s="4"/>
      <c r="W46" s="4"/>
      <c r="X46" s="4"/>
      <c r="Y46" s="4"/>
      <c r="Z46" s="4"/>
    </row>
    <row r="47" spans="1:26" ht="45" customHeight="1">
      <c r="A47" s="10" t="str">
        <f>HYPERLINK("https://vimeo.com/111040672","Barbell Box Squat")</f>
        <v>Barbell Box Squat</v>
      </c>
      <c r="B47" s="11" t="s">
        <v>189</v>
      </c>
      <c r="C47" s="4"/>
      <c r="D47" s="4"/>
      <c r="E47" s="4"/>
      <c r="F47" s="4"/>
      <c r="G47" s="4"/>
      <c r="H47" s="4"/>
      <c r="I47" s="4"/>
      <c r="J47" s="4"/>
      <c r="K47" s="4"/>
      <c r="L47" s="4"/>
      <c r="M47" s="4"/>
      <c r="N47" s="4"/>
      <c r="O47" s="4"/>
      <c r="P47" s="4"/>
      <c r="Q47" s="4"/>
      <c r="R47" s="4"/>
      <c r="S47" s="4"/>
      <c r="T47" s="4"/>
      <c r="U47" s="4"/>
      <c r="V47" s="4"/>
      <c r="W47" s="4"/>
      <c r="X47" s="4"/>
      <c r="Y47" s="4"/>
      <c r="Z47" s="4"/>
    </row>
    <row r="48" spans="1:26" ht="45" customHeight="1">
      <c r="A48" s="10" t="str">
        <f>HYPERLINK("https://vimeo.com/111040674","Barbell Curl")</f>
        <v>Barbell Curl</v>
      </c>
      <c r="B48" s="11" t="s">
        <v>151</v>
      </c>
      <c r="C48" s="4"/>
      <c r="D48" s="4"/>
      <c r="E48" s="4"/>
      <c r="F48" s="4"/>
      <c r="G48" s="4"/>
      <c r="H48" s="4"/>
      <c r="I48" s="4"/>
      <c r="J48" s="4"/>
      <c r="K48" s="4"/>
      <c r="L48" s="4"/>
      <c r="M48" s="4"/>
      <c r="N48" s="4"/>
      <c r="O48" s="4"/>
      <c r="P48" s="4"/>
      <c r="Q48" s="4"/>
      <c r="R48" s="4"/>
      <c r="S48" s="4"/>
      <c r="T48" s="4"/>
      <c r="U48" s="4"/>
      <c r="V48" s="4"/>
      <c r="W48" s="4"/>
      <c r="X48" s="4"/>
      <c r="Y48" s="4"/>
      <c r="Z48" s="4"/>
    </row>
    <row r="49" spans="1:26" ht="45" customHeight="1">
      <c r="A49" s="10" t="str">
        <f>HYPERLINK("https://vimeo.com/111040676","Barbell Deadlift")</f>
        <v>Barbell Deadlift</v>
      </c>
      <c r="B49" s="11" t="s">
        <v>190</v>
      </c>
      <c r="C49" s="4"/>
      <c r="D49" s="4"/>
      <c r="E49" s="4"/>
      <c r="F49" s="4"/>
      <c r="G49" s="4"/>
      <c r="H49" s="4"/>
      <c r="I49" s="4"/>
      <c r="J49" s="4"/>
      <c r="K49" s="4"/>
      <c r="L49" s="4"/>
      <c r="M49" s="4"/>
      <c r="N49" s="4"/>
      <c r="O49" s="4"/>
      <c r="P49" s="4"/>
      <c r="Q49" s="4"/>
      <c r="R49" s="4"/>
      <c r="S49" s="4"/>
      <c r="T49" s="4"/>
      <c r="U49" s="4"/>
      <c r="V49" s="4"/>
      <c r="W49" s="4"/>
      <c r="X49" s="4"/>
      <c r="Y49" s="4"/>
      <c r="Z49" s="4"/>
    </row>
    <row r="50" spans="1:26" ht="45" customHeight="1">
      <c r="A50" s="10" t="str">
        <f>HYPERLINK("https://vimeo.com/111043103","Barbell Floor Press")</f>
        <v>Barbell Floor Press</v>
      </c>
      <c r="B50" s="11" t="s">
        <v>87</v>
      </c>
      <c r="C50" s="4"/>
      <c r="D50" s="4"/>
      <c r="E50" s="4"/>
      <c r="F50" s="4"/>
      <c r="G50" s="4"/>
      <c r="H50" s="4"/>
      <c r="I50" s="4"/>
      <c r="J50" s="4"/>
      <c r="K50" s="4"/>
      <c r="L50" s="4"/>
      <c r="M50" s="4"/>
      <c r="N50" s="4"/>
      <c r="O50" s="4"/>
      <c r="P50" s="4"/>
      <c r="Q50" s="4"/>
      <c r="R50" s="4"/>
      <c r="S50" s="4"/>
      <c r="T50" s="4"/>
      <c r="U50" s="4"/>
      <c r="V50" s="4"/>
      <c r="W50" s="4"/>
      <c r="X50" s="4"/>
      <c r="Y50" s="4"/>
      <c r="Z50" s="4"/>
    </row>
    <row r="51" spans="1:26" ht="45" customHeight="1">
      <c r="A51" s="10" t="str">
        <f>HYPERLINK("https://vimeo.com/111043107","Barbell Front Squat")</f>
        <v>Barbell Front Squat</v>
      </c>
      <c r="B51" s="11" t="s">
        <v>188</v>
      </c>
      <c r="C51" s="4"/>
      <c r="D51" s="4"/>
      <c r="E51" s="4"/>
      <c r="F51" s="4"/>
      <c r="G51" s="4"/>
      <c r="H51" s="4"/>
      <c r="I51" s="4"/>
      <c r="J51" s="4"/>
      <c r="K51" s="4"/>
      <c r="L51" s="4"/>
      <c r="M51" s="4"/>
      <c r="N51" s="4"/>
      <c r="O51" s="4"/>
      <c r="P51" s="4"/>
      <c r="Q51" s="4"/>
      <c r="R51" s="4"/>
      <c r="S51" s="4"/>
      <c r="T51" s="4"/>
      <c r="U51" s="4"/>
      <c r="V51" s="4"/>
      <c r="W51" s="4"/>
      <c r="X51" s="4"/>
      <c r="Y51" s="4"/>
      <c r="Z51" s="4"/>
    </row>
    <row r="52" spans="1:26" ht="45" customHeight="1">
      <c r="A52" s="10" t="str">
        <f>HYPERLINK("https://vimeo.com/111043110","Barbell Front Squat Iso")</f>
        <v>Barbell Front Squat Iso</v>
      </c>
      <c r="B52" s="11" t="s">
        <v>132</v>
      </c>
      <c r="C52" s="4"/>
      <c r="D52" s="4"/>
      <c r="E52" s="4"/>
      <c r="F52" s="4"/>
      <c r="G52" s="4"/>
      <c r="H52" s="4"/>
      <c r="I52" s="4"/>
      <c r="J52" s="4"/>
      <c r="K52" s="4"/>
      <c r="L52" s="4"/>
      <c r="M52" s="4"/>
      <c r="N52" s="4"/>
      <c r="O52" s="4"/>
      <c r="P52" s="4"/>
      <c r="Q52" s="4"/>
      <c r="R52" s="4"/>
      <c r="S52" s="4"/>
      <c r="T52" s="4"/>
      <c r="U52" s="4"/>
      <c r="V52" s="4"/>
      <c r="W52" s="4"/>
      <c r="X52" s="4"/>
      <c r="Y52" s="4"/>
      <c r="Z52" s="4"/>
    </row>
    <row r="53" spans="1:26" ht="45" customHeight="1">
      <c r="A53" s="10" t="str">
        <f>HYPERLINK("https://vimeo.com/111043112","Barbell Front Squat to Box")</f>
        <v>Barbell Front Squat to Box</v>
      </c>
      <c r="B53" s="11" t="s">
        <v>191</v>
      </c>
      <c r="C53" s="4"/>
      <c r="D53" s="4"/>
      <c r="E53" s="4"/>
      <c r="F53" s="4"/>
      <c r="G53" s="4"/>
      <c r="H53" s="4"/>
      <c r="I53" s="4"/>
      <c r="J53" s="4"/>
      <c r="K53" s="4"/>
      <c r="L53" s="4"/>
      <c r="M53" s="4"/>
      <c r="N53" s="4"/>
      <c r="O53" s="4"/>
      <c r="P53" s="4"/>
      <c r="Q53" s="4"/>
      <c r="R53" s="4"/>
      <c r="S53" s="4"/>
      <c r="T53" s="4"/>
      <c r="U53" s="4"/>
      <c r="V53" s="4"/>
      <c r="W53" s="4"/>
      <c r="X53" s="4"/>
      <c r="Y53" s="4"/>
      <c r="Z53" s="4"/>
    </row>
    <row r="54" spans="1:26" ht="45" customHeight="1">
      <c r="A54" s="10" t="str">
        <f>HYPERLINK("https://vimeo.com/111043114","Barbell Glute Bridge")</f>
        <v>Barbell Glute Bridge</v>
      </c>
      <c r="B54" s="11" t="s">
        <v>146</v>
      </c>
      <c r="C54" s="4"/>
      <c r="D54" s="4"/>
      <c r="E54" s="4"/>
      <c r="F54" s="4"/>
      <c r="G54" s="4"/>
      <c r="H54" s="4"/>
      <c r="I54" s="4"/>
      <c r="J54" s="4"/>
      <c r="K54" s="4"/>
      <c r="L54" s="4"/>
      <c r="M54" s="4"/>
      <c r="N54" s="4"/>
      <c r="O54" s="4"/>
      <c r="P54" s="4"/>
      <c r="Q54" s="4"/>
      <c r="R54" s="4"/>
      <c r="S54" s="4"/>
      <c r="T54" s="4"/>
      <c r="U54" s="4"/>
      <c r="V54" s="4"/>
      <c r="W54" s="4"/>
      <c r="X54" s="4"/>
      <c r="Y54" s="4"/>
      <c r="Z54" s="4"/>
    </row>
    <row r="55" spans="1:26" ht="45" customHeight="1">
      <c r="A55" s="10" t="str">
        <f>HYPERLINK("https://vimeo.com/111043384","Barbell Hip Thrust")</f>
        <v>Barbell Hip Thrust</v>
      </c>
      <c r="B55" s="11" t="s">
        <v>146</v>
      </c>
      <c r="C55" s="4"/>
      <c r="D55" s="4"/>
      <c r="E55" s="4"/>
      <c r="F55" s="4"/>
      <c r="G55" s="4"/>
      <c r="H55" s="4"/>
      <c r="I55" s="4"/>
      <c r="J55" s="4"/>
      <c r="K55" s="4"/>
      <c r="L55" s="4"/>
      <c r="M55" s="4"/>
      <c r="N55" s="4"/>
      <c r="O55" s="4"/>
      <c r="P55" s="4"/>
      <c r="Q55" s="4"/>
      <c r="R55" s="4"/>
      <c r="S55" s="4"/>
      <c r="T55" s="4"/>
      <c r="U55" s="4"/>
      <c r="V55" s="4"/>
      <c r="W55" s="4"/>
      <c r="X55" s="4"/>
      <c r="Y55" s="4"/>
      <c r="Z55" s="4"/>
    </row>
    <row r="56" spans="1:26" ht="45" customHeight="1">
      <c r="A56" s="10" t="str">
        <f>HYPERLINK("https://vimeo.com/111043386","Barbell Overhead Shrug")</f>
        <v>Barbell Overhead Shrug</v>
      </c>
      <c r="B56" s="11" t="s">
        <v>107</v>
      </c>
      <c r="C56" s="4"/>
      <c r="D56" s="4"/>
      <c r="E56" s="4"/>
      <c r="F56" s="4"/>
      <c r="G56" s="4"/>
      <c r="H56" s="4"/>
      <c r="I56" s="4"/>
      <c r="J56" s="4"/>
      <c r="K56" s="4"/>
      <c r="L56" s="4"/>
      <c r="M56" s="4"/>
      <c r="N56" s="4"/>
      <c r="O56" s="4"/>
      <c r="P56" s="4"/>
      <c r="Q56" s="4"/>
      <c r="R56" s="4"/>
      <c r="S56" s="4"/>
      <c r="T56" s="4"/>
      <c r="U56" s="4"/>
      <c r="V56" s="4"/>
      <c r="W56" s="4"/>
      <c r="X56" s="4"/>
      <c r="Y56" s="4"/>
      <c r="Z56" s="4"/>
    </row>
    <row r="57" spans="1:26" ht="45" customHeight="1">
      <c r="A57" s="10" t="str">
        <f>HYPERLINK("https://vimeo.com/111043389","Barbell Push Press")</f>
        <v>Barbell Push Press</v>
      </c>
      <c r="B57" s="11" t="s">
        <v>108</v>
      </c>
      <c r="C57" s="4"/>
      <c r="D57" s="4"/>
      <c r="E57" s="4"/>
      <c r="F57" s="4"/>
      <c r="G57" s="4"/>
      <c r="H57" s="4"/>
      <c r="I57" s="4"/>
      <c r="J57" s="4"/>
      <c r="K57" s="4"/>
      <c r="L57" s="4"/>
      <c r="M57" s="4"/>
      <c r="N57" s="4"/>
      <c r="O57" s="4"/>
      <c r="P57" s="4"/>
      <c r="Q57" s="4"/>
      <c r="R57" s="4"/>
      <c r="S57" s="4"/>
      <c r="T57" s="4"/>
      <c r="U57" s="4"/>
      <c r="V57" s="4"/>
      <c r="W57" s="4"/>
      <c r="X57" s="4"/>
      <c r="Y57" s="4"/>
      <c r="Z57" s="4"/>
    </row>
    <row r="58" spans="1:26" ht="45" customHeight="1">
      <c r="A58" s="10" t="str">
        <f>HYPERLINK("https://vimeo.com/111043390","Barbell Reverse Lunge")</f>
        <v>Barbell Reverse Lunge</v>
      </c>
      <c r="B58" s="11" t="s">
        <v>134</v>
      </c>
      <c r="C58" s="4"/>
      <c r="D58" s="4"/>
      <c r="E58" s="4"/>
      <c r="F58" s="4"/>
      <c r="G58" s="4"/>
      <c r="H58" s="4"/>
      <c r="I58" s="4"/>
      <c r="J58" s="4"/>
      <c r="K58" s="4"/>
      <c r="L58" s="4"/>
      <c r="M58" s="4"/>
      <c r="N58" s="4"/>
      <c r="O58" s="4"/>
      <c r="P58" s="4"/>
      <c r="Q58" s="4"/>
      <c r="R58" s="4"/>
      <c r="S58" s="4"/>
      <c r="T58" s="4"/>
      <c r="U58" s="4"/>
      <c r="V58" s="4"/>
      <c r="W58" s="4"/>
      <c r="X58" s="4"/>
      <c r="Y58" s="4"/>
      <c r="Z58" s="4"/>
    </row>
    <row r="59" spans="1:26" ht="45" customHeight="1">
      <c r="A59" s="10" t="str">
        <f>HYPERLINK("https://vimeo.com/111043391","Barbell Reverse Lunge With a Front Squat Grip")</f>
        <v>Barbell Reverse Lunge With a Front Squat Grip</v>
      </c>
      <c r="B59" s="11" t="s">
        <v>134</v>
      </c>
      <c r="C59" s="4"/>
      <c r="D59" s="4"/>
      <c r="E59" s="4"/>
      <c r="F59" s="4"/>
      <c r="G59" s="4"/>
      <c r="H59" s="4"/>
      <c r="I59" s="4"/>
      <c r="J59" s="4"/>
      <c r="K59" s="4"/>
      <c r="L59" s="4"/>
      <c r="M59" s="4"/>
      <c r="N59" s="4"/>
      <c r="O59" s="4"/>
      <c r="P59" s="4"/>
      <c r="Q59" s="4"/>
      <c r="R59" s="4"/>
      <c r="S59" s="4"/>
      <c r="T59" s="4"/>
      <c r="U59" s="4"/>
      <c r="V59" s="4"/>
      <c r="W59" s="4"/>
      <c r="X59" s="4"/>
      <c r="Y59" s="4"/>
      <c r="Z59" s="4"/>
    </row>
    <row r="60" spans="1:26" ht="45" customHeight="1">
      <c r="A60" s="10" t="str">
        <f>HYPERLINK("https://vimeo.com/111043979","Barbell Romanian Deadlift")</f>
        <v>Barbell Romanian Deadlift</v>
      </c>
      <c r="B60" s="11" t="s">
        <v>187</v>
      </c>
      <c r="C60" s="4"/>
      <c r="D60" s="4"/>
      <c r="E60" s="4"/>
      <c r="F60" s="4"/>
      <c r="G60" s="4"/>
      <c r="H60" s="4"/>
      <c r="I60" s="4"/>
      <c r="J60" s="4"/>
      <c r="K60" s="4"/>
      <c r="L60" s="4"/>
      <c r="M60" s="4"/>
      <c r="N60" s="4"/>
      <c r="O60" s="4"/>
      <c r="P60" s="4"/>
      <c r="Q60" s="4"/>
      <c r="R60" s="4"/>
      <c r="S60" s="4"/>
      <c r="T60" s="4"/>
      <c r="U60" s="4"/>
      <c r="V60" s="4"/>
      <c r="W60" s="4"/>
      <c r="X60" s="4"/>
      <c r="Y60" s="4"/>
      <c r="Z60" s="4"/>
    </row>
    <row r="61" spans="1:26" ht="45" customHeight="1">
      <c r="A61" s="10" t="str">
        <f>HYPERLINK("https://vimeo.com/111043980","Barbell Slideboard Reverse Lunge")</f>
        <v>Barbell Slideboard Reverse Lunge</v>
      </c>
      <c r="B61" s="11" t="s">
        <v>134</v>
      </c>
      <c r="C61" s="4"/>
      <c r="D61" s="4"/>
      <c r="E61" s="4"/>
      <c r="F61" s="4"/>
      <c r="G61" s="4"/>
      <c r="H61" s="4"/>
      <c r="I61" s="4"/>
      <c r="J61" s="4"/>
      <c r="K61" s="4"/>
      <c r="L61" s="4"/>
      <c r="M61" s="4"/>
      <c r="N61" s="4"/>
      <c r="O61" s="4"/>
      <c r="P61" s="4"/>
      <c r="Q61" s="4"/>
      <c r="R61" s="4"/>
      <c r="S61" s="4"/>
      <c r="T61" s="4"/>
      <c r="U61" s="4"/>
      <c r="V61" s="4"/>
      <c r="W61" s="4"/>
      <c r="X61" s="4"/>
      <c r="Y61" s="4"/>
      <c r="Z61" s="4"/>
    </row>
    <row r="62" spans="1:26" ht="45" customHeight="1">
      <c r="A62" s="10" t="str">
        <f>HYPERLINK("https://vimeo.com/111043982","Barbell Split Squat")</f>
        <v>Barbell Split Squat</v>
      </c>
      <c r="B62" s="11" t="s">
        <v>136</v>
      </c>
      <c r="C62" s="4"/>
      <c r="D62" s="4"/>
      <c r="E62" s="4"/>
      <c r="F62" s="4"/>
      <c r="G62" s="4"/>
      <c r="H62" s="4"/>
      <c r="I62" s="4"/>
      <c r="J62" s="4"/>
      <c r="K62" s="4"/>
      <c r="L62" s="4"/>
      <c r="M62" s="4"/>
      <c r="N62" s="4"/>
      <c r="O62" s="4"/>
      <c r="P62" s="4"/>
      <c r="Q62" s="4"/>
      <c r="R62" s="4"/>
      <c r="S62" s="4"/>
      <c r="T62" s="4"/>
      <c r="U62" s="4"/>
      <c r="V62" s="4"/>
      <c r="W62" s="4"/>
      <c r="X62" s="4"/>
      <c r="Y62" s="4"/>
      <c r="Z62" s="4"/>
    </row>
    <row r="63" spans="1:26" ht="45" customHeight="1">
      <c r="A63" s="10" t="str">
        <f>HYPERLINK("https://vimeo.com/111043984","Barbell Sumo Deadlift")</f>
        <v>Barbell Sumo Deadlift</v>
      </c>
      <c r="B63" s="11" t="s">
        <v>192</v>
      </c>
      <c r="C63" s="4"/>
      <c r="D63" s="4"/>
      <c r="E63" s="4"/>
      <c r="F63" s="4"/>
      <c r="G63" s="4"/>
      <c r="H63" s="4"/>
      <c r="I63" s="4"/>
      <c r="J63" s="4"/>
      <c r="K63" s="4"/>
      <c r="L63" s="4"/>
      <c r="M63" s="4"/>
      <c r="N63" s="4"/>
      <c r="O63" s="4"/>
      <c r="P63" s="4"/>
      <c r="Q63" s="4"/>
      <c r="R63" s="4"/>
      <c r="S63" s="4"/>
      <c r="T63" s="4"/>
      <c r="U63" s="4"/>
      <c r="V63" s="4"/>
      <c r="W63" s="4"/>
      <c r="X63" s="4"/>
      <c r="Y63" s="4"/>
      <c r="Z63" s="4"/>
    </row>
    <row r="64" spans="1:26" ht="45" customHeight="1">
      <c r="A64" s="10" t="str">
        <f>HYPERLINK("https://vimeo.com/111043986","Bear Crawl")</f>
        <v>Bear Crawl</v>
      </c>
      <c r="B64" s="11" t="s">
        <v>193</v>
      </c>
      <c r="C64" s="4"/>
      <c r="D64" s="4"/>
      <c r="E64" s="4"/>
      <c r="F64" s="4"/>
      <c r="G64" s="4"/>
      <c r="H64" s="4"/>
      <c r="I64" s="4"/>
      <c r="J64" s="4"/>
      <c r="K64" s="4"/>
      <c r="L64" s="4"/>
      <c r="M64" s="4"/>
      <c r="N64" s="4"/>
      <c r="O64" s="4"/>
      <c r="P64" s="4"/>
      <c r="Q64" s="4"/>
      <c r="R64" s="4"/>
      <c r="S64" s="4"/>
      <c r="T64" s="4"/>
      <c r="U64" s="4"/>
      <c r="V64" s="4"/>
      <c r="W64" s="4"/>
      <c r="X64" s="4"/>
      <c r="Y64" s="4"/>
      <c r="Z64" s="4"/>
    </row>
    <row r="65" spans="1:26" ht="45" customHeight="1">
      <c r="A65" s="10" t="str">
        <f>HYPERLINK("https://vimeo.com/111048714","Bent-Over Dumbbell Row")</f>
        <v>Bent-Over Dumbbell Row</v>
      </c>
      <c r="B65" s="4" t="s">
        <v>112</v>
      </c>
      <c r="C65" s="4"/>
      <c r="D65" s="4"/>
      <c r="E65" s="4"/>
      <c r="F65" s="4"/>
      <c r="G65" s="4"/>
      <c r="H65" s="4"/>
      <c r="I65" s="4"/>
      <c r="J65" s="4"/>
      <c r="K65" s="4"/>
      <c r="L65" s="4"/>
      <c r="M65" s="4"/>
      <c r="N65" s="4"/>
      <c r="O65" s="4"/>
      <c r="P65" s="4"/>
      <c r="Q65" s="4"/>
      <c r="R65" s="4"/>
      <c r="S65" s="4"/>
      <c r="T65" s="4"/>
      <c r="U65" s="4"/>
      <c r="V65" s="4"/>
      <c r="W65" s="4"/>
      <c r="X65" s="4"/>
      <c r="Y65" s="4"/>
      <c r="Z65" s="4"/>
    </row>
    <row r="66" spans="1:26" ht="45" customHeight="1">
      <c r="A66" s="10" t="str">
        <f>HYPERLINK("https://vimeo.com/111048715","Bird Dog")</f>
        <v>Bird Dog</v>
      </c>
      <c r="B66" s="11" t="s">
        <v>14</v>
      </c>
      <c r="C66" s="4"/>
      <c r="D66" s="4"/>
      <c r="E66" s="4"/>
      <c r="F66" s="4"/>
      <c r="G66" s="4"/>
      <c r="H66" s="4"/>
      <c r="I66" s="4"/>
      <c r="J66" s="4"/>
      <c r="K66" s="4"/>
      <c r="L66" s="4"/>
      <c r="M66" s="4"/>
      <c r="N66" s="4"/>
      <c r="O66" s="4"/>
      <c r="P66" s="4"/>
      <c r="Q66" s="4"/>
      <c r="R66" s="4"/>
      <c r="S66" s="4"/>
      <c r="T66" s="4"/>
      <c r="U66" s="4"/>
      <c r="V66" s="4"/>
      <c r="W66" s="4"/>
      <c r="X66" s="4"/>
      <c r="Y66" s="4"/>
      <c r="Z66" s="4"/>
    </row>
    <row r="67" spans="1:26" ht="45" customHeight="1">
      <c r="A67" s="10" t="str">
        <f>HYPERLINK("https://vimeo.com/111048717","Bodyweight Cross-Over Step-Up")</f>
        <v>Bodyweight Cross-Over Step-Up</v>
      </c>
      <c r="B67" s="4" t="s">
        <v>145</v>
      </c>
      <c r="C67" s="4"/>
      <c r="D67" s="4"/>
      <c r="E67" s="4"/>
      <c r="F67" s="4"/>
      <c r="G67" s="4"/>
      <c r="H67" s="4"/>
      <c r="I67" s="4"/>
      <c r="J67" s="4"/>
      <c r="K67" s="4"/>
      <c r="L67" s="4"/>
      <c r="M67" s="4"/>
      <c r="N67" s="4"/>
      <c r="O67" s="4"/>
      <c r="P67" s="4"/>
      <c r="Q67" s="4"/>
      <c r="R67" s="4"/>
      <c r="S67" s="4"/>
      <c r="T67" s="4"/>
      <c r="U67" s="4"/>
      <c r="V67" s="4"/>
      <c r="W67" s="4"/>
      <c r="X67" s="4"/>
      <c r="Y67" s="4"/>
      <c r="Z67" s="4"/>
    </row>
    <row r="68" spans="1:26" ht="45" customHeight="1">
      <c r="A68" s="10" t="str">
        <f>HYPERLINK("https://vimeo.com/111048719","Bodyweight Get-Up")</f>
        <v>Bodyweight Get-Up</v>
      </c>
      <c r="B68" s="11" t="s">
        <v>70</v>
      </c>
      <c r="C68" s="4"/>
      <c r="D68" s="4"/>
      <c r="E68" s="4"/>
      <c r="F68" s="4"/>
      <c r="G68" s="4"/>
      <c r="H68" s="4"/>
      <c r="I68" s="4"/>
      <c r="J68" s="4"/>
      <c r="K68" s="4"/>
      <c r="L68" s="4"/>
      <c r="M68" s="4"/>
      <c r="N68" s="4"/>
      <c r="O68" s="4"/>
      <c r="P68" s="4"/>
      <c r="Q68" s="4"/>
      <c r="R68" s="4"/>
      <c r="S68" s="4"/>
      <c r="T68" s="4"/>
      <c r="U68" s="4"/>
      <c r="V68" s="4"/>
      <c r="W68" s="4"/>
      <c r="X68" s="4"/>
      <c r="Y68" s="4"/>
      <c r="Z68" s="4"/>
    </row>
    <row r="69" spans="1:26" ht="45" customHeight="1">
      <c r="A69" s="10" t="str">
        <f>HYPERLINK("https://vimeo.com/111048721","Bodyweight Lateral Lunge With Assistance")</f>
        <v>Bodyweight Lateral Lunge With Assistance</v>
      </c>
      <c r="B69" s="4" t="s">
        <v>126</v>
      </c>
      <c r="C69" s="4"/>
      <c r="D69" s="4"/>
      <c r="E69" s="4"/>
      <c r="F69" s="4"/>
      <c r="G69" s="4"/>
      <c r="H69" s="4"/>
      <c r="I69" s="4"/>
      <c r="J69" s="4"/>
      <c r="K69" s="4"/>
      <c r="L69" s="4"/>
      <c r="M69" s="4"/>
      <c r="N69" s="4"/>
      <c r="O69" s="4"/>
      <c r="P69" s="4"/>
      <c r="Q69" s="4"/>
      <c r="R69" s="4"/>
      <c r="S69" s="4"/>
      <c r="T69" s="4"/>
      <c r="U69" s="4"/>
      <c r="V69" s="4"/>
      <c r="W69" s="4"/>
      <c r="X69" s="4"/>
      <c r="Y69" s="4"/>
      <c r="Z69" s="4"/>
    </row>
    <row r="70" spans="1:26" ht="45" customHeight="1">
      <c r="A70" s="10" t="str">
        <f>HYPERLINK("https://vimeo.com/111051113","Bodyweight Lateral Squat")</f>
        <v>Bodyweight Lateral Squat</v>
      </c>
      <c r="B70" s="4" t="s">
        <v>126</v>
      </c>
      <c r="C70" s="4"/>
      <c r="D70" s="4"/>
      <c r="E70" s="4"/>
      <c r="F70" s="4"/>
      <c r="G70" s="4"/>
      <c r="H70" s="4"/>
      <c r="I70" s="4"/>
      <c r="J70" s="4"/>
      <c r="K70" s="4"/>
      <c r="L70" s="4"/>
      <c r="M70" s="4"/>
      <c r="N70" s="4"/>
      <c r="O70" s="4"/>
      <c r="P70" s="4"/>
      <c r="Q70" s="4"/>
      <c r="R70" s="4"/>
      <c r="S70" s="4"/>
      <c r="T70" s="4"/>
      <c r="U70" s="4"/>
      <c r="V70" s="4"/>
      <c r="W70" s="4"/>
      <c r="X70" s="4"/>
      <c r="Y70" s="4"/>
      <c r="Z70" s="4"/>
    </row>
    <row r="71" spans="1:26" ht="45" customHeight="1">
      <c r="A71" s="10" t="str">
        <f>HYPERLINK("https://vimeo.com/111051114","Bodyweight Reverse Lunge With Blocked Knee")</f>
        <v>Bodyweight Reverse Lunge With Blocked Knee</v>
      </c>
      <c r="B71" s="11" t="s">
        <v>135</v>
      </c>
      <c r="C71" s="4"/>
      <c r="D71" s="4"/>
      <c r="E71" s="4"/>
      <c r="F71" s="4"/>
      <c r="G71" s="4"/>
      <c r="H71" s="4"/>
      <c r="I71" s="4"/>
      <c r="J71" s="4"/>
      <c r="K71" s="4"/>
      <c r="L71" s="4"/>
      <c r="M71" s="4"/>
      <c r="N71" s="4"/>
      <c r="O71" s="4"/>
      <c r="P71" s="4"/>
      <c r="Q71" s="4"/>
      <c r="R71" s="4"/>
      <c r="S71" s="4"/>
      <c r="T71" s="4"/>
      <c r="U71" s="4"/>
      <c r="V71" s="4"/>
      <c r="W71" s="4"/>
      <c r="X71" s="4"/>
      <c r="Y71" s="4"/>
      <c r="Z71" s="4"/>
    </row>
    <row r="72" spans="1:26" ht="45" customHeight="1">
      <c r="A72" s="10" t="str">
        <f>HYPERLINK("https://vimeo.com/111051116","Bodyweight Split Squat With Blocked Knee")</f>
        <v>Bodyweight Split Squat With Blocked Knee</v>
      </c>
      <c r="B72" s="11" t="s">
        <v>134</v>
      </c>
      <c r="C72" s="4"/>
      <c r="D72" s="4"/>
      <c r="E72" s="4"/>
      <c r="F72" s="4"/>
      <c r="G72" s="4"/>
      <c r="H72" s="4"/>
      <c r="I72" s="4"/>
      <c r="J72" s="4"/>
      <c r="K72" s="4"/>
      <c r="L72" s="4"/>
      <c r="M72" s="4"/>
      <c r="N72" s="4"/>
      <c r="O72" s="4"/>
      <c r="P72" s="4"/>
      <c r="Q72" s="4"/>
      <c r="R72" s="4"/>
      <c r="S72" s="4"/>
      <c r="T72" s="4"/>
      <c r="U72" s="4"/>
      <c r="V72" s="4"/>
      <c r="W72" s="4"/>
      <c r="X72" s="4"/>
      <c r="Y72" s="4"/>
      <c r="Z72" s="4"/>
    </row>
    <row r="73" spans="1:26" ht="45" customHeight="1">
      <c r="A73" s="10" t="str">
        <f>HYPERLINK("https://vimeo.com/111051117","Bodyweight Squat Thrust")</f>
        <v>Bodyweight Squat Thrust</v>
      </c>
      <c r="B73" s="11" t="s">
        <v>178</v>
      </c>
      <c r="C73" s="4"/>
      <c r="D73" s="4"/>
      <c r="E73" s="4"/>
      <c r="F73" s="4"/>
      <c r="G73" s="4"/>
      <c r="H73" s="4"/>
      <c r="I73" s="4"/>
      <c r="J73" s="4"/>
      <c r="K73" s="4"/>
      <c r="L73" s="4"/>
      <c r="M73" s="4"/>
      <c r="N73" s="4"/>
      <c r="O73" s="4"/>
      <c r="P73" s="4"/>
      <c r="Q73" s="4"/>
      <c r="R73" s="4"/>
      <c r="S73" s="4"/>
      <c r="T73" s="4"/>
      <c r="U73" s="4"/>
      <c r="V73" s="4"/>
      <c r="W73" s="4"/>
      <c r="X73" s="4"/>
      <c r="Y73" s="4"/>
      <c r="Z73" s="4"/>
    </row>
    <row r="74" spans="1:26" ht="45" customHeight="1">
      <c r="A74" s="10" t="str">
        <f>HYPERLINK("https://vimeo.com/111051119","Bodyweight Squat to Box")</f>
        <v>Bodyweight Squat to Box</v>
      </c>
      <c r="B74" s="4" t="s">
        <v>127</v>
      </c>
      <c r="C74" s="4"/>
      <c r="D74" s="4"/>
      <c r="E74" s="4"/>
      <c r="F74" s="4"/>
      <c r="G74" s="4"/>
      <c r="H74" s="4"/>
      <c r="I74" s="4"/>
      <c r="J74" s="4"/>
      <c r="K74" s="4"/>
      <c r="L74" s="4"/>
      <c r="M74" s="4"/>
      <c r="N74" s="4"/>
      <c r="O74" s="4"/>
      <c r="P74" s="4"/>
      <c r="Q74" s="4"/>
      <c r="R74" s="4"/>
      <c r="S74" s="4"/>
      <c r="T74" s="4"/>
      <c r="U74" s="4"/>
      <c r="V74" s="4"/>
      <c r="W74" s="4"/>
      <c r="X74" s="4"/>
      <c r="Y74" s="4"/>
      <c r="Z74" s="4"/>
    </row>
    <row r="75" spans="1:26" ht="45" customHeight="1">
      <c r="A75" s="10" t="str">
        <f>HYPERLINK("https://vimeo.com/111052875","Bodyweight Step-Up")</f>
        <v>Bodyweight Step-Up</v>
      </c>
      <c r="B75" s="4" t="s">
        <v>142</v>
      </c>
      <c r="C75" s="4"/>
      <c r="D75" s="4"/>
      <c r="E75" s="4"/>
      <c r="F75" s="4"/>
      <c r="G75" s="4"/>
      <c r="H75" s="4"/>
      <c r="I75" s="4"/>
      <c r="J75" s="4"/>
      <c r="K75" s="4"/>
      <c r="L75" s="4"/>
      <c r="M75" s="4"/>
      <c r="N75" s="4"/>
      <c r="O75" s="4"/>
      <c r="P75" s="4"/>
      <c r="Q75" s="4"/>
      <c r="R75" s="4"/>
      <c r="S75" s="4"/>
      <c r="T75" s="4"/>
      <c r="U75" s="4"/>
      <c r="V75" s="4"/>
      <c r="W75" s="4"/>
      <c r="X75" s="4"/>
      <c r="Y75" s="4"/>
      <c r="Z75" s="4"/>
    </row>
    <row r="76" spans="1:26" ht="45" customHeight="1">
      <c r="A76" s="10" t="str">
        <f>HYPERLINK("https://vimeo.com/111052877","Bowler Squat")</f>
        <v>Bowler Squat</v>
      </c>
      <c r="B76" s="11" t="s">
        <v>31</v>
      </c>
      <c r="C76" s="4"/>
      <c r="D76" s="4"/>
      <c r="E76" s="4"/>
      <c r="F76" s="4"/>
      <c r="G76" s="4"/>
      <c r="H76" s="4"/>
      <c r="I76" s="4"/>
      <c r="J76" s="4"/>
      <c r="K76" s="4"/>
      <c r="L76" s="4"/>
      <c r="M76" s="4"/>
      <c r="N76" s="4"/>
      <c r="O76" s="4"/>
      <c r="P76" s="4"/>
      <c r="Q76" s="4"/>
      <c r="R76" s="4"/>
      <c r="S76" s="4"/>
      <c r="T76" s="4"/>
      <c r="U76" s="4"/>
      <c r="V76" s="4"/>
      <c r="W76" s="4"/>
      <c r="X76" s="4"/>
      <c r="Y76" s="4"/>
      <c r="Z76" s="4"/>
    </row>
    <row r="77" spans="1:26" ht="45" customHeight="1">
      <c r="A77" s="10" t="str">
        <f>HYPERLINK("https://vimeo.com/111052878","Brady Band Series")</f>
        <v>Brady Band Series</v>
      </c>
      <c r="B77" s="11" t="s">
        <v>164</v>
      </c>
      <c r="C77" s="4"/>
      <c r="D77" s="4"/>
      <c r="E77" s="4"/>
      <c r="F77" s="4"/>
      <c r="G77" s="4"/>
      <c r="H77" s="4"/>
      <c r="I77" s="4"/>
      <c r="J77" s="4"/>
      <c r="K77" s="4"/>
      <c r="L77" s="4"/>
      <c r="M77" s="4"/>
      <c r="N77" s="4"/>
      <c r="O77" s="4"/>
      <c r="P77" s="4"/>
      <c r="Q77" s="4"/>
      <c r="R77" s="4"/>
      <c r="S77" s="4"/>
      <c r="T77" s="4"/>
      <c r="U77" s="4"/>
      <c r="V77" s="4"/>
      <c r="W77" s="4"/>
      <c r="X77" s="4"/>
      <c r="Y77" s="4"/>
      <c r="Z77" s="4"/>
    </row>
    <row r="78" spans="1:26" ht="45" customHeight="1">
      <c r="A78" s="10" t="str">
        <f>HYPERLINK("https://vimeo.com/111052880","Brady Band Series - Without Band")</f>
        <v>Brady Band Series - Without Band</v>
      </c>
      <c r="B78" s="11" t="s">
        <v>164</v>
      </c>
      <c r="C78" s="4"/>
      <c r="D78" s="4"/>
      <c r="E78" s="4"/>
      <c r="F78" s="4"/>
      <c r="G78" s="4"/>
      <c r="H78" s="4"/>
      <c r="I78" s="4"/>
      <c r="J78" s="4"/>
      <c r="K78" s="4"/>
      <c r="L78" s="4"/>
      <c r="M78" s="4"/>
      <c r="N78" s="4"/>
      <c r="O78" s="4"/>
      <c r="P78" s="4"/>
      <c r="Q78" s="4"/>
      <c r="R78" s="4"/>
      <c r="S78" s="4"/>
      <c r="T78" s="4"/>
      <c r="U78" s="4"/>
      <c r="V78" s="4"/>
      <c r="W78" s="4"/>
      <c r="X78" s="4"/>
      <c r="Y78" s="4"/>
      <c r="Z78" s="4"/>
    </row>
    <row r="79" spans="1:26" ht="45" customHeight="1">
      <c r="A79" s="10" t="str">
        <f>HYPERLINK("https://vimeo.com/111052882","Burpee")</f>
        <v>Burpee</v>
      </c>
      <c r="B79" s="11" t="s">
        <v>181</v>
      </c>
      <c r="C79" s="4"/>
      <c r="D79" s="4"/>
      <c r="E79" s="4"/>
      <c r="F79" s="4"/>
      <c r="G79" s="4"/>
      <c r="H79" s="4"/>
      <c r="I79" s="4"/>
      <c r="J79" s="4"/>
      <c r="K79" s="4"/>
      <c r="L79" s="4"/>
      <c r="M79" s="4"/>
      <c r="N79" s="4"/>
      <c r="O79" s="4"/>
      <c r="P79" s="4"/>
      <c r="Q79" s="4"/>
      <c r="R79" s="4"/>
      <c r="S79" s="4"/>
      <c r="T79" s="4"/>
      <c r="U79" s="4"/>
      <c r="V79" s="4"/>
      <c r="W79" s="4"/>
      <c r="X79" s="4"/>
      <c r="Y79" s="4"/>
      <c r="Z79" s="4"/>
    </row>
    <row r="80" spans="1:26" ht="45" customHeight="1">
      <c r="A80" s="10" t="str">
        <f>HYPERLINK("https://vimeo.com/111053597","Burpee Without Pushup")</f>
        <v>Burpee Without Pushup</v>
      </c>
      <c r="B80" s="11" t="s">
        <v>179</v>
      </c>
      <c r="C80" s="4"/>
      <c r="D80" s="4"/>
      <c r="E80" s="4"/>
      <c r="F80" s="4"/>
      <c r="G80" s="4"/>
      <c r="H80" s="4"/>
      <c r="I80" s="4"/>
      <c r="J80" s="4"/>
      <c r="K80" s="4"/>
      <c r="L80" s="4"/>
      <c r="M80" s="4"/>
      <c r="N80" s="4"/>
      <c r="O80" s="4"/>
      <c r="P80" s="4"/>
      <c r="Q80" s="4"/>
      <c r="R80" s="4"/>
      <c r="S80" s="4"/>
      <c r="T80" s="4"/>
      <c r="U80" s="4"/>
      <c r="V80" s="4"/>
      <c r="W80" s="4"/>
      <c r="X80" s="4"/>
      <c r="Y80" s="4"/>
      <c r="Z80" s="4"/>
    </row>
    <row r="81" spans="1:26" ht="45" customHeight="1">
      <c r="A81" s="10" t="str">
        <f>HYPERLINK("https://vimeo.com/111053600","Cable External Rotation at 30 Degrees Abduction")</f>
        <v>Cable External Rotation at 30 Degrees Abduction</v>
      </c>
      <c r="B81" s="11" t="s">
        <v>172</v>
      </c>
      <c r="C81" s="4"/>
      <c r="D81" s="4"/>
      <c r="E81" s="4"/>
      <c r="F81" s="4"/>
      <c r="G81" s="4"/>
      <c r="H81" s="4"/>
      <c r="I81" s="4"/>
      <c r="J81" s="4"/>
      <c r="K81" s="4"/>
      <c r="L81" s="4"/>
      <c r="M81" s="4"/>
      <c r="N81" s="4"/>
      <c r="O81" s="4"/>
      <c r="P81" s="4"/>
      <c r="Q81" s="4"/>
      <c r="R81" s="4"/>
      <c r="S81" s="4"/>
      <c r="T81" s="4"/>
      <c r="U81" s="4"/>
      <c r="V81" s="4"/>
      <c r="W81" s="4"/>
      <c r="X81" s="4"/>
      <c r="Y81" s="4"/>
      <c r="Z81" s="4"/>
    </row>
    <row r="82" spans="1:26" ht="45" customHeight="1">
      <c r="A82" s="10" t="str">
        <f>HYPERLINK("https://vimeo.com/111053606","Cable External Rotation at 90 Degrees Abduction")</f>
        <v>Cable External Rotation at 90 Degrees Abduction</v>
      </c>
      <c r="B82" s="11" t="s">
        <v>172</v>
      </c>
      <c r="C82" s="4"/>
      <c r="D82" s="4"/>
      <c r="E82" s="4"/>
      <c r="F82" s="4"/>
      <c r="G82" s="4"/>
      <c r="H82" s="4"/>
      <c r="I82" s="4"/>
      <c r="J82" s="4"/>
      <c r="K82" s="4"/>
      <c r="L82" s="4"/>
      <c r="M82" s="4"/>
      <c r="N82" s="4"/>
      <c r="O82" s="4"/>
      <c r="P82" s="4"/>
      <c r="Q82" s="4"/>
      <c r="R82" s="4"/>
      <c r="S82" s="4"/>
      <c r="T82" s="4"/>
      <c r="U82" s="4"/>
      <c r="V82" s="4"/>
      <c r="W82" s="4"/>
      <c r="X82" s="4"/>
      <c r="Y82" s="4"/>
      <c r="Z82" s="4"/>
    </row>
    <row r="83" spans="1:26" ht="45" customHeight="1">
      <c r="A83" s="10" t="str">
        <f>HYPERLINK("https://vimeo.com/111053608","Cable External Rotation on Knee")</f>
        <v>Cable External Rotation on Knee</v>
      </c>
      <c r="B83" s="11" t="s">
        <v>172</v>
      </c>
      <c r="C83" s="4"/>
      <c r="D83" s="4"/>
      <c r="E83" s="4"/>
      <c r="F83" s="4"/>
      <c r="G83" s="4"/>
      <c r="H83" s="4"/>
      <c r="I83" s="4"/>
      <c r="J83" s="4"/>
      <c r="K83" s="4"/>
      <c r="L83" s="4"/>
      <c r="M83" s="4"/>
      <c r="N83" s="4"/>
      <c r="O83" s="4"/>
      <c r="P83" s="4"/>
      <c r="Q83" s="4"/>
      <c r="R83" s="4"/>
      <c r="S83" s="4"/>
      <c r="T83" s="4"/>
      <c r="U83" s="4"/>
      <c r="V83" s="4"/>
      <c r="W83" s="4"/>
      <c r="X83" s="4"/>
      <c r="Y83" s="4"/>
      <c r="Z83" s="4"/>
    </row>
    <row r="84" spans="1:26" ht="45" customHeight="1">
      <c r="A84" s="10" t="str">
        <f>HYPERLINK("https://vimeo.com/111053610","Cable Pull-Down")</f>
        <v>Cable Pull-Down</v>
      </c>
      <c r="B84" s="11" t="s">
        <v>121</v>
      </c>
      <c r="C84" s="4"/>
      <c r="D84" s="4"/>
      <c r="E84" s="4"/>
      <c r="F84" s="4"/>
      <c r="G84" s="4"/>
      <c r="H84" s="4"/>
      <c r="I84" s="4"/>
      <c r="J84" s="4"/>
      <c r="K84" s="4"/>
      <c r="L84" s="4"/>
      <c r="M84" s="4"/>
      <c r="N84" s="4"/>
      <c r="O84" s="4"/>
      <c r="P84" s="4"/>
      <c r="Q84" s="4"/>
      <c r="R84" s="4"/>
      <c r="S84" s="4"/>
      <c r="T84" s="4"/>
      <c r="U84" s="4"/>
      <c r="V84" s="4"/>
      <c r="W84" s="4"/>
      <c r="X84" s="4"/>
      <c r="Y84" s="4"/>
      <c r="Z84" s="4"/>
    </row>
    <row r="85" spans="1:26" ht="45" customHeight="1">
      <c r="A85" s="10" t="str">
        <f>HYPERLINK("https://vimeo.com/111054631","Chest-Supported Dumbbell Row")</f>
        <v>Chest-Supported Dumbbell Row</v>
      </c>
      <c r="B85" s="4" t="s">
        <v>194</v>
      </c>
      <c r="C85" s="4"/>
      <c r="D85" s="4"/>
      <c r="E85" s="4"/>
      <c r="F85" s="4"/>
      <c r="G85" s="4"/>
      <c r="H85" s="4"/>
      <c r="I85" s="4"/>
      <c r="J85" s="4"/>
      <c r="K85" s="4"/>
      <c r="L85" s="4"/>
      <c r="M85" s="4"/>
      <c r="N85" s="4"/>
      <c r="O85" s="4"/>
      <c r="P85" s="4"/>
      <c r="Q85" s="4"/>
      <c r="R85" s="4"/>
      <c r="S85" s="4"/>
      <c r="T85" s="4"/>
      <c r="U85" s="4"/>
      <c r="V85" s="4"/>
      <c r="W85" s="4"/>
      <c r="X85" s="4"/>
      <c r="Y85" s="4"/>
      <c r="Z85" s="4"/>
    </row>
    <row r="86" spans="1:26" ht="45" customHeight="1">
      <c r="A86" s="10" t="str">
        <f>HYPERLINK("https://vimeo.com/111054632","Chest-Supported Dumbbell Row Iso")</f>
        <v>Chest-Supported Dumbbell Row Iso</v>
      </c>
      <c r="B86" s="4" t="s">
        <v>194</v>
      </c>
      <c r="C86" s="4"/>
      <c r="D86" s="4"/>
      <c r="E86" s="4"/>
      <c r="F86" s="4"/>
      <c r="G86" s="4"/>
      <c r="H86" s="4"/>
      <c r="I86" s="4"/>
      <c r="J86" s="4"/>
      <c r="K86" s="4"/>
      <c r="L86" s="4"/>
      <c r="M86" s="4"/>
      <c r="N86" s="4"/>
      <c r="O86" s="4"/>
      <c r="P86" s="4"/>
      <c r="Q86" s="4"/>
      <c r="R86" s="4"/>
      <c r="S86" s="4"/>
      <c r="T86" s="4"/>
      <c r="U86" s="4"/>
      <c r="V86" s="4"/>
      <c r="W86" s="4"/>
      <c r="X86" s="4"/>
      <c r="Y86" s="4"/>
      <c r="Z86" s="4"/>
    </row>
    <row r="87" spans="1:26" ht="45" customHeight="1">
      <c r="A87" s="10" t="str">
        <f>HYPERLINK("https://vimeo.com/111054636","Chin-Up")</f>
        <v>Chin-Up</v>
      </c>
      <c r="B87" s="11" t="s">
        <v>121</v>
      </c>
      <c r="C87" s="4"/>
      <c r="D87" s="4"/>
      <c r="E87" s="4"/>
      <c r="F87" s="4"/>
      <c r="G87" s="4"/>
      <c r="H87" s="4"/>
      <c r="I87" s="4"/>
      <c r="J87" s="4"/>
      <c r="K87" s="4"/>
      <c r="L87" s="4"/>
      <c r="M87" s="4"/>
      <c r="N87" s="4"/>
      <c r="O87" s="4"/>
      <c r="P87" s="4"/>
      <c r="Q87" s="4"/>
      <c r="R87" s="4"/>
      <c r="S87" s="4"/>
      <c r="T87" s="4"/>
      <c r="U87" s="4"/>
      <c r="V87" s="4"/>
      <c r="W87" s="4"/>
      <c r="X87" s="4"/>
      <c r="Y87" s="4"/>
      <c r="Z87" s="4"/>
    </row>
    <row r="88" spans="1:26" ht="45" customHeight="1">
      <c r="A88" s="10" t="str">
        <f>HYPERLINK("https://vimeo.com/111054638","Close-Grip Barbell Bench Press")</f>
        <v>Close-Grip Barbell Bench Press</v>
      </c>
      <c r="B88" s="11" t="s">
        <v>86</v>
      </c>
      <c r="C88" s="4"/>
      <c r="D88" s="4"/>
      <c r="E88" s="4"/>
      <c r="F88" s="4"/>
      <c r="G88" s="4"/>
      <c r="H88" s="4"/>
      <c r="I88" s="4"/>
      <c r="J88" s="4"/>
      <c r="K88" s="4"/>
      <c r="L88" s="4"/>
      <c r="M88" s="4"/>
      <c r="N88" s="4"/>
      <c r="O88" s="4"/>
      <c r="P88" s="4"/>
      <c r="Q88" s="4"/>
      <c r="R88" s="4"/>
      <c r="S88" s="4"/>
      <c r="T88" s="4"/>
      <c r="U88" s="4"/>
      <c r="V88" s="4"/>
      <c r="W88" s="4"/>
      <c r="X88" s="4"/>
      <c r="Y88" s="4"/>
      <c r="Z88" s="4"/>
    </row>
    <row r="89" spans="1:26" ht="45" customHeight="1">
      <c r="A89" s="10" t="str">
        <f>HYPERLINK("https://vimeo.com/111054640","Close-Grip Pushup")</f>
        <v>Close-Grip Pushup</v>
      </c>
      <c r="B89" s="11" t="s">
        <v>89</v>
      </c>
      <c r="C89" s="4"/>
      <c r="D89" s="4"/>
      <c r="E89" s="4"/>
      <c r="F89" s="4"/>
      <c r="G89" s="4"/>
      <c r="H89" s="4"/>
      <c r="I89" s="4"/>
      <c r="J89" s="4"/>
      <c r="K89" s="4"/>
      <c r="L89" s="4"/>
      <c r="M89" s="4"/>
      <c r="N89" s="4"/>
      <c r="O89" s="4"/>
      <c r="P89" s="4"/>
      <c r="Q89" s="4"/>
      <c r="R89" s="4"/>
      <c r="S89" s="4"/>
      <c r="T89" s="4"/>
      <c r="U89" s="4"/>
      <c r="V89" s="4"/>
      <c r="W89" s="4"/>
      <c r="X89" s="4"/>
      <c r="Y89" s="4"/>
      <c r="Z89" s="4"/>
    </row>
    <row r="90" spans="1:26" ht="45" customHeight="1">
      <c r="A90" s="10" t="str">
        <f>HYPERLINK("https://vimeo.com/111109108","Cross-Body Lat Mobilization")</f>
        <v>Cross-Body Lat Mobilization</v>
      </c>
      <c r="B90" s="11" t="s">
        <v>19</v>
      </c>
      <c r="C90" s="4"/>
      <c r="D90" s="4"/>
      <c r="E90" s="4"/>
      <c r="F90" s="4"/>
      <c r="G90" s="4"/>
      <c r="H90" s="4"/>
      <c r="I90" s="4"/>
      <c r="J90" s="4"/>
      <c r="K90" s="4"/>
      <c r="L90" s="4"/>
      <c r="M90" s="4"/>
      <c r="N90" s="4"/>
      <c r="O90" s="4"/>
      <c r="P90" s="4"/>
      <c r="Q90" s="4"/>
      <c r="R90" s="4"/>
      <c r="S90" s="4"/>
      <c r="T90" s="4"/>
      <c r="U90" s="4"/>
      <c r="V90" s="4"/>
      <c r="W90" s="4"/>
      <c r="X90" s="4"/>
      <c r="Y90" s="4"/>
      <c r="Z90" s="4"/>
    </row>
    <row r="91" spans="1:26" ht="45" customHeight="1">
      <c r="A91" s="10" t="str">
        <f>HYPERLINK("https://vimeo.com/111109110","Dead Bug")</f>
        <v>Dead Bug</v>
      </c>
      <c r="B91" s="4" t="s">
        <v>71</v>
      </c>
      <c r="C91" s="4"/>
      <c r="D91" s="4"/>
      <c r="E91" s="4"/>
      <c r="F91" s="4"/>
      <c r="G91" s="4"/>
      <c r="H91" s="4"/>
      <c r="I91" s="4"/>
      <c r="J91" s="4"/>
      <c r="K91" s="4"/>
      <c r="L91" s="4"/>
      <c r="M91" s="4"/>
      <c r="N91" s="4"/>
      <c r="O91" s="4"/>
      <c r="P91" s="4"/>
      <c r="Q91" s="4"/>
      <c r="R91" s="4"/>
      <c r="S91" s="4"/>
      <c r="T91" s="4"/>
      <c r="U91" s="4"/>
      <c r="V91" s="4"/>
      <c r="W91" s="4"/>
      <c r="X91" s="4"/>
      <c r="Y91" s="4"/>
      <c r="Z91" s="4"/>
    </row>
    <row r="92" spans="1:26" ht="45" customHeight="1">
      <c r="A92" s="10" t="str">
        <f>HYPERLINK("https://vimeo.com/111109112","Dead Bug With Legs Only")</f>
        <v>Dead Bug With Legs Only</v>
      </c>
      <c r="B92" s="4" t="s">
        <v>72</v>
      </c>
      <c r="C92" s="4"/>
      <c r="D92" s="4"/>
      <c r="E92" s="4"/>
      <c r="F92" s="4"/>
      <c r="G92" s="4"/>
      <c r="H92" s="4"/>
      <c r="I92" s="4"/>
      <c r="J92" s="4"/>
      <c r="K92" s="4"/>
      <c r="L92" s="4"/>
      <c r="M92" s="4"/>
      <c r="N92" s="4"/>
      <c r="O92" s="4"/>
      <c r="P92" s="4"/>
      <c r="Q92" s="4"/>
      <c r="R92" s="4"/>
      <c r="S92" s="4"/>
      <c r="T92" s="4"/>
      <c r="U92" s="4"/>
      <c r="V92" s="4"/>
      <c r="W92" s="4"/>
      <c r="X92" s="4"/>
      <c r="Y92" s="4"/>
      <c r="Z92" s="4"/>
    </row>
    <row r="93" spans="1:26" ht="45" customHeight="1">
      <c r="A93" s="10" t="str">
        <f>HYPERLINK("https://vimeo.com/111113500","Deep Neck Flexor Activation and Suboccipital Stretch")</f>
        <v>Deep Neck Flexor Activation and Suboccipital Stretch</v>
      </c>
      <c r="B93" s="11" t="s">
        <v>20</v>
      </c>
      <c r="C93" s="4"/>
      <c r="D93" s="4"/>
      <c r="E93" s="4"/>
      <c r="F93" s="4"/>
      <c r="G93" s="4"/>
      <c r="H93" s="4"/>
      <c r="I93" s="4"/>
      <c r="J93" s="4"/>
      <c r="K93" s="4"/>
      <c r="L93" s="4"/>
      <c r="M93" s="4"/>
      <c r="N93" s="4"/>
      <c r="O93" s="4"/>
      <c r="P93" s="4"/>
      <c r="Q93" s="4"/>
      <c r="R93" s="4"/>
      <c r="S93" s="4"/>
      <c r="T93" s="4"/>
      <c r="U93" s="4"/>
      <c r="V93" s="4"/>
      <c r="W93" s="4"/>
      <c r="X93" s="4"/>
      <c r="Y93" s="4"/>
      <c r="Z93" s="4"/>
    </row>
    <row r="94" spans="1:26" ht="45" customHeight="1">
      <c r="A94" s="10" t="str">
        <f>HYPERLINK("https://vimeo.com/111109114","Deep Squat Wall Stretch")</f>
        <v>Deep Squat Wall Stretch</v>
      </c>
      <c r="B94" s="4" t="s">
        <v>21</v>
      </c>
      <c r="C94" s="4"/>
      <c r="D94" s="4"/>
      <c r="E94" s="4"/>
      <c r="F94" s="4"/>
      <c r="G94" s="4"/>
      <c r="H94" s="4"/>
      <c r="I94" s="4"/>
      <c r="J94" s="4"/>
      <c r="K94" s="4"/>
      <c r="L94" s="4"/>
      <c r="M94" s="4"/>
      <c r="N94" s="4"/>
      <c r="O94" s="4"/>
      <c r="P94" s="4"/>
      <c r="Q94" s="4"/>
      <c r="R94" s="4"/>
      <c r="S94" s="4"/>
      <c r="T94" s="4"/>
      <c r="U94" s="4"/>
      <c r="V94" s="4"/>
      <c r="W94" s="4"/>
      <c r="X94" s="4"/>
      <c r="Y94" s="4"/>
      <c r="Z94" s="4"/>
    </row>
    <row r="95" spans="1:26" ht="45" customHeight="1">
      <c r="A95" s="10" t="str">
        <f>HYPERLINK("https://vimeo.com/111114451","Dragon Flag")</f>
        <v>Dragon Flag</v>
      </c>
      <c r="B95" s="11" t="s">
        <v>69</v>
      </c>
      <c r="C95" s="4"/>
      <c r="D95" s="4"/>
      <c r="E95" s="4"/>
      <c r="F95" s="4"/>
      <c r="G95" s="4"/>
      <c r="H95" s="4"/>
      <c r="I95" s="4"/>
      <c r="J95" s="4"/>
      <c r="K95" s="4"/>
      <c r="L95" s="4"/>
      <c r="M95" s="4"/>
      <c r="N95" s="4"/>
      <c r="O95" s="4"/>
      <c r="P95" s="4"/>
      <c r="Q95" s="4"/>
      <c r="R95" s="4"/>
      <c r="S95" s="4"/>
      <c r="T95" s="4"/>
      <c r="U95" s="4"/>
      <c r="V95" s="4"/>
      <c r="W95" s="4"/>
      <c r="X95" s="4"/>
      <c r="Y95" s="4"/>
      <c r="Z95" s="4"/>
    </row>
    <row r="96" spans="1:26" ht="45" customHeight="1">
      <c r="A96" s="10" t="str">
        <f>HYPERLINK("https://vimeo.com/111113502","Dumbbell 1 1/4 Full Squat")</f>
        <v>Dumbbell 1 1/4 Full Squat</v>
      </c>
      <c r="B96" s="11" t="s">
        <v>195</v>
      </c>
      <c r="C96" s="4"/>
      <c r="D96" s="4"/>
      <c r="E96" s="4"/>
      <c r="F96" s="4"/>
      <c r="G96" s="4"/>
      <c r="H96" s="4"/>
      <c r="I96" s="4"/>
      <c r="J96" s="4"/>
      <c r="K96" s="4"/>
      <c r="L96" s="4"/>
      <c r="M96" s="4"/>
      <c r="N96" s="4"/>
      <c r="O96" s="4"/>
      <c r="P96" s="4"/>
      <c r="Q96" s="4"/>
      <c r="R96" s="4"/>
      <c r="S96" s="4"/>
      <c r="T96" s="4"/>
      <c r="U96" s="4"/>
      <c r="V96" s="4"/>
      <c r="W96" s="4"/>
      <c r="X96" s="4"/>
      <c r="Y96" s="4"/>
      <c r="Z96" s="4"/>
    </row>
    <row r="97" spans="1:26" ht="45" customHeight="1">
      <c r="A97" s="10" t="str">
        <f>HYPERLINK("https://vimeo.com/111113503","Dumbbell Bench Press")</f>
        <v>Dumbbell Bench Press</v>
      </c>
      <c r="B97" s="11" t="s">
        <v>86</v>
      </c>
      <c r="C97" s="4"/>
      <c r="D97" s="4"/>
      <c r="E97" s="4"/>
      <c r="F97" s="4"/>
      <c r="G97" s="4"/>
      <c r="H97" s="4"/>
      <c r="I97" s="4"/>
      <c r="J97" s="4"/>
      <c r="K97" s="4"/>
      <c r="L97" s="4"/>
      <c r="M97" s="4"/>
      <c r="N97" s="4"/>
      <c r="O97" s="4"/>
      <c r="P97" s="4"/>
      <c r="Q97" s="4"/>
      <c r="R97" s="4"/>
      <c r="S97" s="4"/>
      <c r="T97" s="4"/>
      <c r="U97" s="4"/>
      <c r="V97" s="4"/>
      <c r="W97" s="4"/>
      <c r="X97" s="4"/>
      <c r="Y97" s="4"/>
      <c r="Z97" s="4"/>
    </row>
    <row r="98" spans="1:26" ht="45" customHeight="1">
      <c r="A98" s="10" t="str">
        <f>HYPERLINK("https://vimeo.com/111113509","Dumbbell Cross-Over Step-Up")</f>
        <v>Dumbbell Cross-Over Step-Up</v>
      </c>
      <c r="B98" s="4" t="s">
        <v>145</v>
      </c>
      <c r="C98" s="4"/>
      <c r="D98" s="4"/>
      <c r="E98" s="4"/>
      <c r="F98" s="4"/>
      <c r="G98" s="4"/>
      <c r="H98" s="4"/>
      <c r="I98" s="4"/>
      <c r="J98" s="4"/>
      <c r="K98" s="4"/>
      <c r="L98" s="4"/>
      <c r="M98" s="4"/>
      <c r="N98" s="4"/>
      <c r="O98" s="4"/>
      <c r="P98" s="4"/>
      <c r="Q98" s="4"/>
      <c r="R98" s="4"/>
      <c r="S98" s="4"/>
      <c r="T98" s="4"/>
      <c r="U98" s="4"/>
      <c r="V98" s="4"/>
      <c r="W98" s="4"/>
      <c r="X98" s="4"/>
      <c r="Y98" s="4"/>
      <c r="Z98" s="4"/>
    </row>
    <row r="99" spans="1:26" ht="45" customHeight="1">
      <c r="A99" s="10" t="str">
        <f>HYPERLINK("https://vimeo.com/111113510","Dumbbell Curl")</f>
        <v>Dumbbell Curl</v>
      </c>
      <c r="B99" s="11" t="s">
        <v>151</v>
      </c>
      <c r="C99" s="4"/>
      <c r="D99" s="4"/>
      <c r="E99" s="4"/>
      <c r="F99" s="4"/>
      <c r="G99" s="4"/>
      <c r="H99" s="4"/>
      <c r="I99" s="4"/>
      <c r="J99" s="4"/>
      <c r="K99" s="4"/>
      <c r="L99" s="4"/>
      <c r="M99" s="4"/>
      <c r="N99" s="4"/>
      <c r="O99" s="4"/>
      <c r="P99" s="4"/>
      <c r="Q99" s="4"/>
      <c r="R99" s="4"/>
      <c r="S99" s="4"/>
      <c r="T99" s="4"/>
      <c r="U99" s="4"/>
      <c r="V99" s="4"/>
      <c r="W99" s="4"/>
      <c r="X99" s="4"/>
      <c r="Y99" s="4"/>
      <c r="Z99" s="4"/>
    </row>
    <row r="100" spans="1:26" ht="45" customHeight="1">
      <c r="A100" s="10" t="str">
        <f>HYPERLINK("https://vimeo.com/111114453","Dumbbell External Rotation on Knee")</f>
        <v>Dumbbell External Rotation on Knee</v>
      </c>
      <c r="B100" s="11" t="s">
        <v>172</v>
      </c>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45" customHeight="1">
      <c r="A101" s="10" t="str">
        <f>HYPERLINK("https://vimeo.com/111114454","Dumbbell Floor Press")</f>
        <v>Dumbbell Floor Press</v>
      </c>
      <c r="B101" s="11" t="s">
        <v>86</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45" customHeight="1">
      <c r="A102" s="10" t="str">
        <f>HYPERLINK("https://vimeo.com/111114458","Dumbbell Flye EQI")</f>
        <v>Dumbbell Flye EQI</v>
      </c>
      <c r="B102" s="11" t="s">
        <v>196</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45" customHeight="1">
      <c r="A103" s="10" t="str">
        <f>HYPERLINK("https://vimeo.com/111114459","Dumbbell Full Squat")</f>
        <v>Dumbbell Full Squat</v>
      </c>
      <c r="B103" s="11" t="s">
        <v>197</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45" customHeight="1">
      <c r="A104" s="10" t="str">
        <f>HYPERLINK("https://vimeo.com/111117181","Dumbbell Hammer Curl")</f>
        <v>Dumbbell Hammer Curl</v>
      </c>
      <c r="B104" s="11" t="s">
        <v>151</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45" customHeight="1">
      <c r="A105" s="10" t="str">
        <f>HYPERLINK("https://vimeo.com/111117184","Dumbbell Overhead Shrug")</f>
        <v>Dumbbell Overhead Shrug</v>
      </c>
      <c r="B105" s="11" t="s">
        <v>106</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45" customHeight="1">
      <c r="A106" s="10" t="str">
        <f>HYPERLINK("https://vimeo.com/111117185","Dumbbell Push Press")</f>
        <v>Dumbbell Push Press</v>
      </c>
      <c r="B106" s="11" t="s">
        <v>105</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45" customHeight="1">
      <c r="A107" s="10" t="str">
        <f>HYPERLINK("https://vimeo.com/111117186","Dumbbell Reverse Lunge")</f>
        <v>Dumbbell Reverse Lunge</v>
      </c>
      <c r="B107" s="11" t="s">
        <v>134</v>
      </c>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45" customHeight="1">
      <c r="A108" s="10" t="str">
        <f>HYPERLINK("https://vimeo.com/111121970","Dumbbell Reverse Lunge From Deficit")</f>
        <v>Dumbbell Reverse Lunge From Deficit</v>
      </c>
      <c r="B108" s="11" t="s">
        <v>134</v>
      </c>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45" customHeight="1">
      <c r="A109" s="10" t="str">
        <f>HYPERLINK("https://vimeo.com/111121972","Dumbbell Reverse Lunge to Romanian Deadlift")</f>
        <v>Dumbbell Reverse Lunge to Romanian Deadlift</v>
      </c>
      <c r="B109" s="11" t="s">
        <v>141</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45" customHeight="1">
      <c r="A110" s="10" t="str">
        <f>HYPERLINK("https://vimeo.com/111121973","Dumbbell Reverse Lunge With Blocked Knee")</f>
        <v>Dumbbell Reverse Lunge With Blocked Knee</v>
      </c>
      <c r="B110" s="11" t="s">
        <v>135</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45" customHeight="1">
      <c r="A111" s="10" t="str">
        <f>HYPERLINK("https://vimeo.com/111121974","Dumbbell Romanian Deadlift")</f>
        <v>Dumbbell Romanian Deadlift</v>
      </c>
      <c r="B111" s="11" t="s">
        <v>187</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45" customHeight="1">
      <c r="A112" s="10" t="str">
        <f>HYPERLINK("https://vimeo.com/111121975","Dumbbell Slideboard Reverse Lunge")</f>
        <v>Dumbbell Slideboard Reverse Lunge</v>
      </c>
      <c r="B112" s="11" t="s">
        <v>134</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45" customHeight="1">
      <c r="A113" s="10" t="str">
        <f>HYPERLINK("https://vimeo.com/111125509","Dumbbell Split Squat")</f>
        <v>Dumbbell Split Squat</v>
      </c>
      <c r="B113" s="4" t="s">
        <v>136</v>
      </c>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45" customHeight="1">
      <c r="A114" s="10" t="str">
        <f>HYPERLINK("https://vimeo.com/111125510","Dumbbell Squat Thrust")</f>
        <v>Dumbbell Squat Thrust</v>
      </c>
      <c r="B114" s="11" t="s">
        <v>182</v>
      </c>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5" customHeight="1">
      <c r="A115" s="10" t="str">
        <f>HYPERLINK("https://vimeo.com/111125511","Dumbbell Step-Up")</f>
        <v>Dumbbell Step-Up</v>
      </c>
      <c r="B115" s="4" t="s">
        <v>142</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45" customHeight="1">
      <c r="A116" s="10" t="str">
        <f>HYPERLINK("https://vimeo.com/111125512","Dumbbell Sumo Deadlift")</f>
        <v>Dumbbell Sumo Deadlift</v>
      </c>
      <c r="B116" s="11" t="s">
        <v>198</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45" customHeight="1">
      <c r="A117" s="10" t="str">
        <f>HYPERLINK("https://vimeo.com/111125514","Dynamic Blackburn")</f>
        <v>Dynamic Blackburn</v>
      </c>
      <c r="B117" s="11" t="s">
        <v>15</v>
      </c>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45" customHeight="1">
      <c r="A118" s="10" t="str">
        <f>HYPERLINK("https://vimeo.com/111126224","Eccentric Chin-Up")</f>
        <v>Eccentric Chin-Up</v>
      </c>
      <c r="B118" s="11" t="s">
        <v>125</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45" customHeight="1">
      <c r="A119" s="10" t="str">
        <f>HYPERLINK("https://vimeo.com/111126225","Eccentric Pull-Up")</f>
        <v>Eccentric Pull-Up</v>
      </c>
      <c r="B119" s="11" t="s">
        <v>125</v>
      </c>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45" customHeight="1">
      <c r="A120" s="10" t="str">
        <f>HYPERLINK("https://vimeo.com/111126227","Elbow Plank Bodysaw")</f>
        <v>Elbow Plank Bodysaw</v>
      </c>
      <c r="B120" s="4" t="s">
        <v>53</v>
      </c>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45" customHeight="1">
      <c r="A121" s="10" t="str">
        <f>HYPERLINK("https://vimeo.com/111126228","Explosive Pushup")</f>
        <v>Explosive Pushup</v>
      </c>
      <c r="B121" s="11" t="s">
        <v>99</v>
      </c>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45" customHeight="1">
      <c r="A122" s="10" t="str">
        <f>HYPERLINK("https://vimeo.com/111126229","Face Pull")</f>
        <v>Face Pull</v>
      </c>
      <c r="B122" s="11" t="s">
        <v>173</v>
      </c>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45" customHeight="1">
      <c r="A123" s="10" t="str">
        <f>HYPERLINK("https://vimeo.com/111126845","Feet-Elevated Band-Resisted Pushup")</f>
        <v>Feet-Elevated Band-Resisted Pushup</v>
      </c>
      <c r="B123" s="11" t="s">
        <v>89</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45" customHeight="1">
      <c r="A124" s="10" t="str">
        <f>HYPERLINK("https://vimeo.com/111126847","Feet-Elevated Pushup")</f>
        <v>Feet-Elevated Pushup</v>
      </c>
      <c r="B124" s="11" t="s">
        <v>89</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45" customHeight="1">
      <c r="A125" s="10" t="str">
        <f>HYPERLINK("https://vimeo.com/111126849","Feet-Elevated Pushup to Single-Arm Support")</f>
        <v>Feet-Elevated Pushup to Single-Arm Support</v>
      </c>
      <c r="B125" s="11" t="s">
        <v>90</v>
      </c>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45" customHeight="1">
      <c r="A126" s="10" t="str">
        <f>HYPERLINK("https://vimeo.com/111126850","Feet-Elevated Side Plank")</f>
        <v>Feet-Elevated Side Plank</v>
      </c>
      <c r="B126" s="11" t="s">
        <v>57</v>
      </c>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45" customHeight="1">
      <c r="A127" s="10" t="str">
        <f>HYPERLINK("https://vimeo.com/111126857","Fetal-Position Breathing")</f>
        <v>Fetal-Position Breathing</v>
      </c>
      <c r="B127" s="11" t="s">
        <v>199</v>
      </c>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45" customHeight="1">
      <c r="A128" s="10" t="str">
        <f>HYPERLINK("https://vimeo.com/111127663","Forearm Wall-Slide at 135 Degrees")</f>
        <v>Forearm Wall-Slide at 135 Degrees</v>
      </c>
      <c r="B128" s="11" t="s">
        <v>32</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45" customHeight="1">
      <c r="A129" s="10" t="str">
        <f>HYPERLINK("https://vimeo.com/111127665","Goblet 1 1/4 Squat")</f>
        <v>Goblet 1 1/4 Squat</v>
      </c>
      <c r="B129" s="11" t="s">
        <v>195</v>
      </c>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45" customHeight="1">
      <c r="A130" s="10" t="str">
        <f>HYPERLINK("https://vimeo.com/111127667","Goblet Lateral Lunge")</f>
        <v>Goblet Lateral Lunge</v>
      </c>
      <c r="B130" s="4" t="s">
        <v>126</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45" customHeight="1">
      <c r="A131" s="10" t="str">
        <f>HYPERLINK("https://vimeo.com/111127668","Goblet Lateral Lunge Walk")</f>
        <v>Goblet Lateral Lunge Walk</v>
      </c>
      <c r="B131" s="11" t="s">
        <v>140</v>
      </c>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45" customHeight="1">
      <c r="A132" s="10" t="str">
        <f>HYPERLINK("https://vimeo.com/111127670","Goblet Lateral Squat")</f>
        <v>Goblet Lateral Squat</v>
      </c>
      <c r="B132" s="4" t="s">
        <v>126</v>
      </c>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45" customHeight="1">
      <c r="A133" s="10" t="str">
        <f>HYPERLINK("https://vimeo.com/111128358","Goblet Lunge")</f>
        <v>Goblet Lunge</v>
      </c>
      <c r="B133" s="11" t="s">
        <v>134</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45" customHeight="1">
      <c r="A134" s="10" t="str">
        <f>HYPERLINK("https://vimeo.com/111128360","Goblet Reverse Lunge")</f>
        <v>Goblet Reverse Lunge</v>
      </c>
      <c r="B134" s="11" t="s">
        <v>134</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45" customHeight="1">
      <c r="A135" s="10" t="str">
        <f>HYPERLINK("https://vimeo.com/111128362","Goblet Reverse Lunge With Blocked Knee")</f>
        <v>Goblet Reverse Lunge With Blocked Knee</v>
      </c>
      <c r="B135" s="11" t="s">
        <v>135</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45" customHeight="1">
      <c r="A136" s="10" t="str">
        <f>HYPERLINK("https://vimeo.com/111128363","Goblet Split Squat")</f>
        <v>Goblet Split Squat</v>
      </c>
      <c r="B136" s="11" t="s">
        <v>136</v>
      </c>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45" customHeight="1">
      <c r="A137" s="10" t="str">
        <f>HYPERLINK("https://vimeo.com/111128364","Goblet Split Squat With Blocked Knee")</f>
        <v>Goblet Split Squat With Blocked Knee</v>
      </c>
      <c r="B137" s="4" t="s">
        <v>136</v>
      </c>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45" customHeight="1">
      <c r="A138" s="10" t="str">
        <f>HYPERLINK("https://vimeo.com/111129796","Goblet Squat")</f>
        <v>Goblet Squat</v>
      </c>
      <c r="B138" s="11" t="s">
        <v>197</v>
      </c>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45" customHeight="1">
      <c r="A139" s="10" t="str">
        <f>HYPERLINK("https://vimeo.com/111129797","Goblet Squat Iso")</f>
        <v>Goblet Squat Iso</v>
      </c>
      <c r="B139" s="11" t="s">
        <v>200</v>
      </c>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45" customHeight="1">
      <c r="A140" s="10" t="str">
        <f>HYPERLINK("https://vimeo.com/111129801","Goblet Squat to Box")</f>
        <v>Goblet Squat to Box</v>
      </c>
      <c r="B140" s="11" t="s">
        <v>127</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45" customHeight="1">
      <c r="A141" s="10" t="str">
        <f>HYPERLINK("https://vimeo.com/111129802","Goblet Squat With Pulse")</f>
        <v>Goblet Squat With Pulse</v>
      </c>
      <c r="B141" s="11" t="s">
        <v>201</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45" customHeight="1">
      <c r="A142" s="10" t="str">
        <f>HYPERLINK("https://vimeo.com/111129805","Goblet Step-Up")</f>
        <v>Goblet Step-Up</v>
      </c>
      <c r="B142" s="4" t="s">
        <v>142</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45" customHeight="1">
      <c r="A143" s="10" t="str">
        <f>HYPERLINK("https://vimeo.com/111132215","Half Get-Up")</f>
        <v>Half Get-Up</v>
      </c>
      <c r="B143" s="11" t="s">
        <v>74</v>
      </c>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45" customHeight="1">
      <c r="A144" s="10" t="str">
        <f>HYPERLINK("https://vimeo.com/111132217","Half-Kneeling Band Chop")</f>
        <v>Half-Kneeling Band Chop</v>
      </c>
      <c r="B144" s="11" t="s">
        <v>82</v>
      </c>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45" customHeight="1">
      <c r="A145" s="10" t="str">
        <f>HYPERLINK("https://vimeo.com/111132218","Half-Kneeling Band Lift")</f>
        <v>Half-Kneeling Band Lift</v>
      </c>
      <c r="B145" s="11" t="s">
        <v>82</v>
      </c>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45" customHeight="1">
      <c r="A146" s="10" t="str">
        <f>HYPERLINK("https://vimeo.com/111132219","Half-Kneeling Band Overhead Shrug")</f>
        <v>Half-Kneeling Band Overhead Shrug</v>
      </c>
      <c r="B146" s="11" t="s">
        <v>170</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45" customHeight="1">
      <c r="A147" s="10" t="str">
        <f>HYPERLINK("https://vimeo.com/111132220","Half-Kneeling Cable Chop")</f>
        <v>Half-Kneeling Cable Chop</v>
      </c>
      <c r="B147" s="11" t="s">
        <v>62</v>
      </c>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45" customHeight="1">
      <c r="A148" s="10" t="str">
        <f>HYPERLINK("https://vimeo.com/111136368","Half-Kneeling Cable Lift")</f>
        <v>Half-Kneeling Cable Lift</v>
      </c>
      <c r="B148" s="11" t="s">
        <v>62</v>
      </c>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45" customHeight="1">
      <c r="A149" s="10" t="str">
        <f>HYPERLINK("https://vimeo.com/111136370","Half-Kneeling Pallof Press Iso")</f>
        <v>Half-Kneeling Pallof Press Iso</v>
      </c>
      <c r="B149" s="11" t="s">
        <v>63</v>
      </c>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45" customHeight="1">
      <c r="A150" s="10" t="str">
        <f>HYPERLINK("https://vimeo.com/111136371","Half-Kneeling Pallof Press Iso With Band")</f>
        <v>Half-Kneeling Pallof Press Iso With Band</v>
      </c>
      <c r="B150" s="11" t="s">
        <v>63</v>
      </c>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45" customHeight="1">
      <c r="A151" s="10" t="str">
        <f>HYPERLINK("https://vimeo.com/111136372","Hamstring Mobilization With Lacrosse Ball")</f>
        <v>Hamstring Mobilization With Lacrosse Ball</v>
      </c>
      <c r="B151" s="11" t="s">
        <v>202</v>
      </c>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45" customHeight="1">
      <c r="A152" s="10" t="str">
        <f>HYPERLINK("https://vimeo.com/111136373","Hand Cross-Over")</f>
        <v>Hand Cross-Over</v>
      </c>
      <c r="B152" s="4" t="s">
        <v>44</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45" customHeight="1">
      <c r="A153" s="10" t="str">
        <f>HYPERLINK("https://vimeo.com/111147882","Hands-Elevated Pushup")</f>
        <v>Hands-Elevated Pushup</v>
      </c>
      <c r="B153" s="11" t="s">
        <v>89</v>
      </c>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45" customHeight="1">
      <c r="A154" s="10" t="str">
        <f>HYPERLINK("https://vimeo.com/111147885","Hands-Elevated Pushup to Single-Arm Support")</f>
        <v>Hands-Elevated Pushup to Single-Arm Support</v>
      </c>
      <c r="B154" s="11" t="s">
        <v>90</v>
      </c>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45" customHeight="1">
      <c r="A155" s="10" t="str">
        <f>HYPERLINK("https://vimeo.com/111147886","Hanging Anti-Lateral Flexion")</f>
        <v>Hanging Anti-Lateral Flexion</v>
      </c>
      <c r="B155" s="11" t="s">
        <v>203</v>
      </c>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45" customHeight="1">
      <c r="A156" s="10" t="str">
        <f>HYPERLINK("https://vimeo.com/111160039","Hanging Unilateral March")</f>
        <v>Hanging Unilateral March</v>
      </c>
      <c r="B156" s="11" t="s">
        <v>204</v>
      </c>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45" customHeight="1">
      <c r="A157" s="10" t="str">
        <f>HYPERLINK("https://vimeo.com/111147887","Hinge to Side Plank")</f>
        <v>Hinge to Side Plank</v>
      </c>
      <c r="B157" s="4" t="s">
        <v>56</v>
      </c>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45" customHeight="1">
      <c r="A158" s="10" t="str">
        <f>HYPERLINK("https://vimeo.com/111241987","Hip Flexor Stretch")</f>
        <v>Hip Flexor Stretch</v>
      </c>
      <c r="B158" s="11" t="s">
        <v>205</v>
      </c>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45" customHeight="1">
      <c r="A159" s="10" t="str">
        <f>HYPERLINK("https://vimeo.com/111241986","Hip-Belt Squat")</f>
        <v>Hip-Belt Squat</v>
      </c>
      <c r="B159" s="11" t="s">
        <v>206</v>
      </c>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45" customHeight="1">
      <c r="A160" s="10" t="str">
        <f>HYPERLINK("https://vimeo.com/111242695","Inchworm")</f>
        <v>Inchworm</v>
      </c>
      <c r="B160" s="11" t="s">
        <v>45</v>
      </c>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45" customHeight="1">
      <c r="A161" s="10" t="str">
        <f>HYPERLINK("https://vimeo.com/111241988","Inverted Row")</f>
        <v>Inverted Row</v>
      </c>
      <c r="B161" s="4" t="s">
        <v>118</v>
      </c>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45" customHeight="1">
      <c r="A162" s="10" t="str">
        <f>HYPERLINK("https://vimeo.com/111253040","Inverted Row With Feet Elevated")</f>
        <v>Inverted Row With Feet Elevated</v>
      </c>
      <c r="B162" s="11" t="s">
        <v>118</v>
      </c>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45" customHeight="1">
      <c r="A163" s="10" t="str">
        <f>HYPERLINK("https://vimeo.com/111253042","Inverted Row With Weight Vest")</f>
        <v>Inverted Row With Weight Vest</v>
      </c>
      <c r="B163" s="11" t="s">
        <v>120</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45" customHeight="1">
      <c r="A164" s="10" t="str">
        <f>HYPERLINK("https://vimeo.com/111253043","Kettlebell Armbar")</f>
        <v>Kettlebell Armbar</v>
      </c>
      <c r="B164" s="11" t="s">
        <v>207</v>
      </c>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45" customHeight="1">
      <c r="A165" s="10" t="str">
        <f>HYPERLINK("https://vimeo.com/111253046","Kettlebell Split Squat With Blocked Knee")</f>
        <v>Kettlebell Split Squat With Blocked Knee</v>
      </c>
      <c r="B165" s="4" t="s">
        <v>136</v>
      </c>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45" customHeight="1">
      <c r="A166" s="10" t="str">
        <f>HYPERLINK("https://vimeo.com/111253047","Knees-to-Feet Drill")</f>
        <v>Knees-to-Feet Drill</v>
      </c>
      <c r="B166" s="11" t="s">
        <v>208</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45" customHeight="1">
      <c r="A167" s="10" t="str">
        <f>HYPERLINK("https://vimeo.com/111253795","Landmine Rainbow")</f>
        <v>Landmine Rainbow</v>
      </c>
      <c r="B167" s="4" t="s">
        <v>183</v>
      </c>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45" customHeight="1">
      <c r="A168" s="10" t="str">
        <f>HYPERLINK("https://vimeo.com/111253799","Lat and Triceps Stretch")</f>
        <v>Lat and Triceps Stretch</v>
      </c>
      <c r="B168" s="11" t="s">
        <v>22</v>
      </c>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45" customHeight="1">
      <c r="A169" s="10" t="str">
        <f>HYPERLINK("https://vimeo.com/111253800","Lateral Lunge With Overhead Driver")</f>
        <v>Lateral Lunge With Overhead Driver</v>
      </c>
      <c r="B169" s="4" t="s">
        <v>78</v>
      </c>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45" customHeight="1">
      <c r="A170" s="10" t="str">
        <f>HYPERLINK("https://vimeo.com/111253801","Long-Lever Plank")</f>
        <v>Long-Lever Plank</v>
      </c>
      <c r="B170" s="11" t="s">
        <v>52</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45" customHeight="1">
      <c r="A171" s="10" t="str">
        <f>HYPERLINK("https://vimeo.com/111253802","Lying Dumbbell Rolling Triceps Extension")</f>
        <v>Lying Dumbbell Rolling Triceps Extension</v>
      </c>
      <c r="B171" s="11" t="s">
        <v>155</v>
      </c>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45" customHeight="1">
      <c r="A172" s="10" t="s">
        <v>3</v>
      </c>
      <c r="B172" s="11" t="s">
        <v>158</v>
      </c>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45" customHeight="1">
      <c r="A173" s="10" t="str">
        <f>HYPERLINK("https://vimeo.com/111255276","Mountain Climber")</f>
        <v>Mountain Climber</v>
      </c>
      <c r="B173" s="11" t="s">
        <v>180</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45" customHeight="1">
      <c r="A174" s="10" t="str">
        <f>HYPERLINK("https://vimeo.com/111255278","Neutral-Grip Cable Pull-Down")</f>
        <v>Neutral-Grip Cable Pull-Down</v>
      </c>
      <c r="B174" s="11" t="s">
        <v>121</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45" customHeight="1">
      <c r="A175" s="10" t="str">
        <f>HYPERLINK("https://vimeo.com/111255279","Neutral-Grip Pull-Up")</f>
        <v>Neutral-Grip Pull-Up</v>
      </c>
      <c r="B175" s="11" t="s">
        <v>121</v>
      </c>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45" customHeight="1">
      <c r="A176" s="10" t="str">
        <f>HYPERLINK("https://vimeo.com/111255280","Neutral-Grip Seated Band Row")</f>
        <v>Neutral-Grip Seated Band Row</v>
      </c>
      <c r="B176" s="11" t="s">
        <v>110</v>
      </c>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45" customHeight="1">
      <c r="A177" s="10" t="str">
        <f>HYPERLINK("https://vimeo.com/111255576","Neutral-Grip Seated Cable Row")</f>
        <v>Neutral-Grip Seated Cable Row</v>
      </c>
      <c r="B177" s="11" t="s">
        <v>115</v>
      </c>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45" customHeight="1">
      <c r="A178" s="10" t="str">
        <f>HYPERLINK("https://vimeo.com/111255574","No Money Drill")</f>
        <v>No Money Drill</v>
      </c>
      <c r="B178" s="11" t="s">
        <v>23</v>
      </c>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45" customHeight="1">
      <c r="A179" s="10" t="str">
        <f>HYPERLINK("https://vimeo.com/111439616","Offset Dumbbell Cross-Over Step-Up")</f>
        <v>Offset Dumbbell Cross-Over Step-Up</v>
      </c>
      <c r="B179" s="11" t="s">
        <v>145</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45" customHeight="1">
      <c r="A180" s="10" t="str">
        <f>HYPERLINK("https://vimeo.com/111439617","Offset Dumbbell Reverse Lunge")</f>
        <v>Offset Dumbbell Reverse Lunge</v>
      </c>
      <c r="B180" s="11" t="s">
        <v>137</v>
      </c>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45" customHeight="1">
      <c r="A181" s="10" t="str">
        <f>HYPERLINK("https://vimeo.com/111439619","Offset Dumbbell Reverse Lunge From Deficit")</f>
        <v>Offset Dumbbell Reverse Lunge From Deficit</v>
      </c>
      <c r="B181" s="11" t="s">
        <v>137</v>
      </c>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45" customHeight="1">
      <c r="A182" s="10" t="str">
        <f>HYPERLINK("https://vimeo.com/111439620","Offset Dumbbell Reverse Lunge to Romanian Deadlift")</f>
        <v>Offset Dumbbell Reverse Lunge to Romanian Deadlift</v>
      </c>
      <c r="B182" s="11" t="s">
        <v>137</v>
      </c>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45" customHeight="1">
      <c r="A183" s="10" t="str">
        <f>HYPERLINK("https://vimeo.com/111439622","Offset Dumbbell Reverse Lunge With Blocked Knee")</f>
        <v>Offset Dumbbell Reverse Lunge With Blocked Knee</v>
      </c>
      <c r="B183" s="11" t="s">
        <v>137</v>
      </c>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45" customHeight="1">
      <c r="A184" s="10" t="str">
        <f>HYPERLINK("https://vimeo.com/111440105","Offset Dumbbell Slideboard Reverse Lunge")</f>
        <v>Offset Dumbbell Slideboard Reverse Lunge</v>
      </c>
      <c r="B184" s="11" t="s">
        <v>137</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45" customHeight="1">
      <c r="A185" s="10" t="str">
        <f>HYPERLINK("https://vimeo.com/111440109","Offset Dumbbell Split Squat")</f>
        <v>Offset Dumbbell Split Squat</v>
      </c>
      <c r="B185" s="11" t="s">
        <v>137</v>
      </c>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45" customHeight="1">
      <c r="A186" s="10" t="str">
        <f>HYPERLINK("https://vimeo.com/111440111","Offset Dumbbell Step-Up")</f>
        <v>Offset Dumbbell Step-Up</v>
      </c>
      <c r="B186" s="11" t="s">
        <v>209</v>
      </c>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45" customHeight="1">
      <c r="A187" s="10" t="str">
        <f>HYPERLINK("https://vimeo.com/111440113","Overhead Band Pallof Press")</f>
        <v>Overhead Band Pallof Press</v>
      </c>
      <c r="B187" s="11" t="s">
        <v>60</v>
      </c>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45" customHeight="1">
      <c r="A188" s="10" t="str">
        <f>HYPERLINK("https://vimeo.com/111440115","Overhead Band Press")</f>
        <v>Overhead Band Press</v>
      </c>
      <c r="B188" s="11" t="s">
        <v>210</v>
      </c>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45" customHeight="1">
      <c r="A189" s="10" t="s">
        <v>4</v>
      </c>
      <c r="B189" s="11" t="s">
        <v>156</v>
      </c>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45" customHeight="1">
      <c r="A190" s="10" t="str">
        <f>HYPERLINK("https://vimeo.com/111440652","Overhead Barbell Squat")</f>
        <v>Overhead Barbell Squat</v>
      </c>
      <c r="B190" s="11" t="s">
        <v>129</v>
      </c>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45" customHeight="1">
      <c r="A191" s="10" t="str">
        <f>HYPERLINK("https://vimeo.com/111440654","Overhead Broomstick Squat")</f>
        <v>Overhead Broomstick Squat</v>
      </c>
      <c r="B191" s="11" t="s">
        <v>129</v>
      </c>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45" customHeight="1">
      <c r="A192" s="10" t="s">
        <v>1</v>
      </c>
      <c r="B192" s="11" t="s">
        <v>157</v>
      </c>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45" customHeight="1">
      <c r="A193" s="10" t="str">
        <f>HYPERLINK("https://vimeo.com/111440657","Overhead Dumbbell Reverse Lunge")</f>
        <v>Overhead Dumbbell Reverse Lunge</v>
      </c>
      <c r="B193" s="11" t="s">
        <v>134</v>
      </c>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45" customHeight="1">
      <c r="A194" s="10" t="str">
        <f>HYPERLINK("https://vimeo.com/111469195","Overhead Dumbbell Reverse Lunge From Deficit")</f>
        <v>Overhead Dumbbell Reverse Lunge From Deficit</v>
      </c>
      <c r="B194" s="11" t="s">
        <v>134</v>
      </c>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45" customHeight="1">
      <c r="A195" s="10" t="str">
        <f>HYPERLINK("https://vimeo.com/111469196","Overhead Offset Dumbbell Reverse Lunge")</f>
        <v>Overhead Offset Dumbbell Reverse Lunge</v>
      </c>
      <c r="B195" s="11" t="s">
        <v>137</v>
      </c>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45" customHeight="1">
      <c r="A196" s="10" t="str">
        <f>HYPERLINK("https://vimeo.com/111469201","Overhead Offset Dumbbell Reverse Lunge From Deficit")</f>
        <v>Overhead Offset Dumbbell Reverse Lunge From Deficit</v>
      </c>
      <c r="B196" s="11" t="s">
        <v>137</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45" customHeight="1">
      <c r="A197" s="10" t="str">
        <f>HYPERLINK("https://vimeo.com/111469204","Pallof Press")</f>
        <v>Pallof Press</v>
      </c>
      <c r="B197" s="4" t="s">
        <v>64</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45" customHeight="1">
      <c r="A198" s="10" t="str">
        <f>HYPERLINK("https://vimeo.com/111469205","Pallof Press Iso")</f>
        <v>Pallof Press Iso</v>
      </c>
      <c r="B198" s="4" t="s">
        <v>65</v>
      </c>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45" customHeight="1">
      <c r="A199" s="10" t="str">
        <f>HYPERLINK("https://vimeo.com/111470519","Pallof Press Iso With Band")</f>
        <v>Pallof Press Iso With Band</v>
      </c>
      <c r="B199" s="4" t="s">
        <v>65</v>
      </c>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45" customHeight="1">
      <c r="A200" s="10" t="str">
        <f>HYPERLINK("https://vimeo.com/111470520","Pallof Press to Overhead")</f>
        <v>Pallof Press to Overhead</v>
      </c>
      <c r="B200" s="4" t="s">
        <v>75</v>
      </c>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45" customHeight="1">
      <c r="A201" s="10" t="str">
        <f>HYPERLINK("https://vimeo.com/111470523","Pallof Press With Band")</f>
        <v>Pallof Press With Band</v>
      </c>
      <c r="B201" s="4" t="s">
        <v>64</v>
      </c>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45" customHeight="1">
      <c r="A202" s="10" t="str">
        <f>HYPERLINK("https://vimeo.com/111470525","Partial-Range Pushup")</f>
        <v>Partial-Range Pushup</v>
      </c>
      <c r="B202" s="11" t="s">
        <v>91</v>
      </c>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45" customHeight="1">
      <c r="A203" s="10" t="str">
        <f>HYPERLINK("https://vimeo.com/111470527","Pec Minor Broomstick Mobilization")</f>
        <v>Pec Minor Broomstick Mobilization</v>
      </c>
      <c r="B203" s="4" t="s">
        <v>24</v>
      </c>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45" customHeight="1">
      <c r="A204" s="10" t="str">
        <f>HYPERLINK("https://vimeo.com/111471014","Pec Mobilization With Lacrosse Ball")</f>
        <v>Pec Mobilization With Lacrosse Ball</v>
      </c>
      <c r="B204" s="4" t="s">
        <v>33</v>
      </c>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45" customHeight="1">
      <c r="A205" s="10" t="str">
        <f>HYPERLINK("https://vimeo.com/111471001","Pigeon Stretch")</f>
        <v>Pigeon Stretch</v>
      </c>
      <c r="B205" s="11" t="s">
        <v>25</v>
      </c>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45" customHeight="1">
      <c r="A206" s="10" t="str">
        <f>HYPERLINK("https://vimeo.com/111471003","Piriformis Mobilization")</f>
        <v>Piriformis Mobilization</v>
      </c>
      <c r="B206" s="11" t="s">
        <v>211</v>
      </c>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45" customHeight="1">
      <c r="A207" s="10" t="str">
        <f>HYPERLINK("https://vimeo.com/111471004","Plank")</f>
        <v>Plank</v>
      </c>
      <c r="B207" s="11" t="s">
        <v>52</v>
      </c>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45" customHeight="1">
      <c r="A208" s="10" t="str">
        <f>HYPERLINK("https://vimeo.com/111471005","Plank Arm March")</f>
        <v>Plank Arm March</v>
      </c>
      <c r="B208" s="11" t="s">
        <v>79</v>
      </c>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45" customHeight="1">
      <c r="A209" s="10" t="str">
        <f>HYPERLINK("https://vimeo.com/111471294","Plate Squat")</f>
        <v>Plate Squat</v>
      </c>
      <c r="B209" s="4" t="s">
        <v>128</v>
      </c>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45" customHeight="1">
      <c r="A210" s="10" t="str">
        <f>HYPERLINK("https://vimeo.com/111471295","Prisoner Squat")</f>
        <v>Prisoner Squat</v>
      </c>
      <c r="B210" s="11" t="s">
        <v>212</v>
      </c>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45" customHeight="1">
      <c r="A211" s="10" t="str">
        <f>HYPERLINK("https://vimeo.com/111471296","Pronated-Grip Seated Band Row")</f>
        <v>Pronated-Grip Seated Band Row</v>
      </c>
      <c r="B211" s="11" t="s">
        <v>110</v>
      </c>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45" customHeight="1">
      <c r="A212" s="10" t="str">
        <f>HYPERLINK("https://vimeo.com/111471299","Pronated-Grip Seated Cable Row")</f>
        <v>Pronated-Grip Seated Cable Row</v>
      </c>
      <c r="B212" s="11" t="s">
        <v>116</v>
      </c>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45" customHeight="1">
      <c r="A213" s="10" t="str">
        <f>HYPERLINK("https://vimeo.com/111471300","Prone Hip External Rotation")</f>
        <v>Prone Hip External Rotation</v>
      </c>
      <c r="B213" s="11" t="s">
        <v>7</v>
      </c>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45" customHeight="1">
      <c r="A214" s="10" t="str">
        <f>HYPERLINK("https://vimeo.com/111471576","Prone Hip Internal Rotation")</f>
        <v>Prone Hip Internal Rotation</v>
      </c>
      <c r="B214" s="11" t="s">
        <v>8</v>
      </c>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45" customHeight="1">
      <c r="A215" s="10" t="str">
        <f>HYPERLINK("https://vimeo.com/111471577","Prone Hip-Flexed Rocking")</f>
        <v>Prone Hip-Flexed Rocking</v>
      </c>
      <c r="B215" s="11" t="s">
        <v>9</v>
      </c>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45" customHeight="1">
      <c r="A216" s="10" t="str">
        <f>HYPERLINK("https://vimeo.com/111471578","Prone Row to External Rotation")</f>
        <v>Prone Row to External Rotation</v>
      </c>
      <c r="B216" s="11" t="s">
        <v>174</v>
      </c>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45" customHeight="1">
      <c r="A217" s="10" t="str">
        <f>HYPERLINK("https://vimeo.com/111471580","Prone T Raise")</f>
        <v>Prone T Raise</v>
      </c>
      <c r="B217" s="4" t="s">
        <v>175</v>
      </c>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45" customHeight="1">
      <c r="A218" s="10" t="str">
        <f>HYPERLINK("https://vimeo.com/111471582","Prone Y Raise")</f>
        <v>Prone Y Raise</v>
      </c>
      <c r="B218" s="11" t="s">
        <v>213</v>
      </c>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45" customHeight="1">
      <c r="A219" s="10" t="str">
        <f>HYPERLINK("https://vimeo.com/111472865","Prone YTI")</f>
        <v>Prone YTI</v>
      </c>
      <c r="B219" s="11" t="s">
        <v>176</v>
      </c>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45" customHeight="1">
      <c r="A220" s="10" t="str">
        <f>HYPERLINK("https://vimeo.com/111472867","Pull-Up")</f>
        <v>Pull-Up</v>
      </c>
      <c r="B220" s="11" t="s">
        <v>121</v>
      </c>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45" customHeight="1">
      <c r="A221" s="10" t="str">
        <f>HYPERLINK("https://vimeo.com/111472869","Pull-Up With Iso")</f>
        <v>Pull-Up With Iso</v>
      </c>
      <c r="B221" s="11" t="s">
        <v>121</v>
      </c>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45" customHeight="1">
      <c r="A222" s="10" t="str">
        <f>HYPERLINK("https://vimeo.com/111472871","Pushup")</f>
        <v>Pushup</v>
      </c>
      <c r="B222" s="11" t="s">
        <v>89</v>
      </c>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45" customHeight="1">
      <c r="A223" s="10" t="str">
        <f>HYPERLINK("https://vimeo.com/111472875","Pushup Iso")</f>
        <v>Pushup Iso</v>
      </c>
      <c r="B223" s="11" t="s">
        <v>92</v>
      </c>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45" customHeight="1">
      <c r="A224" s="10" t="str">
        <f>HYPERLINK("https://vimeo.com/111473395","Pushup to Single-Arm Support")</f>
        <v>Pushup to Single-Arm Support</v>
      </c>
      <c r="B224" s="11" t="s">
        <v>90</v>
      </c>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45" customHeight="1">
      <c r="A225" s="10" t="str">
        <f>HYPERLINK("https://vimeo.com/111473397","Quadruped Extension-Rotation")</f>
        <v>Quadruped Extension-Rotation</v>
      </c>
      <c r="B225" s="11" t="s">
        <v>16</v>
      </c>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45" customHeight="1">
      <c r="A226" s="10" t="str">
        <f>HYPERLINK("https://vimeo.com/111473402","Quadruped Rock Back")</f>
        <v>Quadruped Rock Back</v>
      </c>
      <c r="B226" s="11" t="s">
        <v>17</v>
      </c>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45" customHeight="1">
      <c r="A227" s="10" t="str">
        <f>HYPERLINK("https://vimeo.com/111473401","Rack Pull")</f>
        <v>Rack Pull</v>
      </c>
      <c r="B227" s="11" t="s">
        <v>190</v>
      </c>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45" customHeight="1">
      <c r="A228" s="10" t="str">
        <f>HYPERLINK("https://vimeo.com/111473404","Reach, Rock, Lift")</f>
        <v>Reach, Rock, Lift</v>
      </c>
      <c r="B228" s="11" t="s">
        <v>214</v>
      </c>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45" customHeight="1">
      <c r="A229" s="10" t="str">
        <f>HYPERLINK("https://vimeo.com/111473741","Rear-Foot-Elevated Barbell Split Squat")</f>
        <v>Rear-Foot-Elevated Barbell Split Squat</v>
      </c>
      <c r="B229" s="4" t="s">
        <v>215</v>
      </c>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45" customHeight="1">
      <c r="A230" s="10" t="str">
        <f>HYPERLINK("https://vimeo.com/111473744","Rear-Foot-Elevated Bodyweight Split Squat")</f>
        <v>Rear-Foot-Elevated Bodyweight Split Squat</v>
      </c>
      <c r="B230" s="4" t="s">
        <v>215</v>
      </c>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45" customHeight="1">
      <c r="A231" s="10" t="str">
        <f>HYPERLINK("https://vimeo.com/111473746","Rear-Foot-Elevated Dumbbell Split Squat")</f>
        <v>Rear-Foot-Elevated Dumbbell Split Squat</v>
      </c>
      <c r="B231" s="4" t="s">
        <v>215</v>
      </c>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45" customHeight="1">
      <c r="A232" s="10" t="str">
        <f>HYPERLINK("https://vimeo.com/111473749","Rear-Foot-Elevated Dumbbell Split Squat Jump")</f>
        <v>Rear-Foot-Elevated Dumbbell Split Squat Jump</v>
      </c>
      <c r="B232" s="4" t="s">
        <v>216</v>
      </c>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45" customHeight="1">
      <c r="A233" s="10" t="str">
        <f>HYPERLINK("https://vimeo.com/111473750","Rear-Foot-Elevated Goblet Split Squat")</f>
        <v>Rear-Foot-Elevated Goblet Split Squat</v>
      </c>
      <c r="B233" s="4" t="s">
        <v>215</v>
      </c>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45" customHeight="1">
      <c r="A234" s="10" t="str">
        <f>HYPERLINK("https://vimeo.com/111478018","Rear-Foot-Elevated Single-Arm Dumbbell Split Squat")</f>
        <v>Rear-Foot-Elevated Single-Arm Dumbbell Split Squat</v>
      </c>
      <c r="B234" s="4" t="s">
        <v>215</v>
      </c>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45" customHeight="1">
      <c r="A235" s="10" t="str">
        <f>HYPERLINK("https://vimeo.com/111478020","Renegade Row")</f>
        <v>Renegade Row</v>
      </c>
      <c r="B235" s="11" t="s">
        <v>114</v>
      </c>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45" customHeight="1">
      <c r="A236" s="10" t="str">
        <f>HYPERLINK("https://vimeo.com/111478021","Renegade Row With Pushup")</f>
        <v>Renegade Row With Pushup</v>
      </c>
      <c r="B236" s="11" t="s">
        <v>95</v>
      </c>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45" customHeight="1">
      <c r="A237" s="10" t="str">
        <f>HYPERLINK("https://vimeo.com/111478022","Renegade Row With Pushup and Feet Elevated")</f>
        <v>Renegade Row With Pushup and Feet Elevated</v>
      </c>
      <c r="B237" s="11" t="s">
        <v>95</v>
      </c>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45" customHeight="1">
      <c r="A238" s="10" t="str">
        <f>HYPERLINK("https://vimeo.com/111481752","Reverse Crunch")</f>
        <v>Reverse Crunch</v>
      </c>
      <c r="B238" s="11" t="s">
        <v>68</v>
      </c>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45" customHeight="1">
      <c r="A239" s="10" t="str">
        <f>HYPERLINK("https://vimeo.com/111481754","Reverse Landmine Lunge")</f>
        <v>Reverse Landmine Lunge</v>
      </c>
      <c r="B239" s="11" t="s">
        <v>134</v>
      </c>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45" customHeight="1">
      <c r="A240" s="10" t="str">
        <f>HYPERLINK("https://vimeo.com/111481755","Reverse Lunge With Posterolateral Reach")</f>
        <v>Reverse Lunge With Posterolateral Reach</v>
      </c>
      <c r="B240" s="11" t="s">
        <v>38</v>
      </c>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45" customHeight="1">
      <c r="A241" s="10" t="str">
        <f>HYPERLINK("https://vimeo.com/111481756","Reverse Pattern Single-Leg Romanian Deadlift")</f>
        <v>Reverse Pattern Single-Leg Romanian Deadlift</v>
      </c>
      <c r="B241" s="11" t="s">
        <v>217</v>
      </c>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45" customHeight="1">
      <c r="A242" s="10" t="str">
        <f>HYPERLINK("https://vimeo.com/111481757","Ribs-Down Breathing")</f>
        <v>Ribs-Down Breathing</v>
      </c>
      <c r="B242" s="11" t="s">
        <v>218</v>
      </c>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45" customHeight="1">
      <c r="A243" s="10" t="str">
        <f>HYPERLINK("https://vimeo.com/111483007","Ring Plank")</f>
        <v>Ring Plank</v>
      </c>
      <c r="B243" s="11" t="s">
        <v>52</v>
      </c>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45" customHeight="1">
      <c r="A244" s="10" t="str">
        <f>HYPERLINK("https://vimeo.com/111483008","Ring Pushup")</f>
        <v>Ring Pushup</v>
      </c>
      <c r="B244" s="11" t="s">
        <v>89</v>
      </c>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45" customHeight="1">
      <c r="A245" s="10" t="str">
        <f>HYPERLINK("https://vimeo.com/111483410","Ring Row")</f>
        <v>Ring Row</v>
      </c>
      <c r="B245" s="4" t="s">
        <v>120</v>
      </c>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45" customHeight="1">
      <c r="A246" s="10" t="str">
        <f>HYPERLINK("https://vimeo.com/111483009","Ring Row With Feet Elevated")</f>
        <v>Ring Row With Feet Elevated</v>
      </c>
      <c r="B246" s="4" t="s">
        <v>120</v>
      </c>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45" customHeight="1">
      <c r="A247" s="10" t="str">
        <f>HYPERLINK("https://vimeo.com/111483767","Rocked-Back Quadruped Extension-Rotation")</f>
        <v>Rocked-Back Quadruped Extension-Rotation</v>
      </c>
      <c r="B247" s="11" t="s">
        <v>219</v>
      </c>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45" customHeight="1">
      <c r="A248" s="10" t="str">
        <f>HYPERLINK("https://vimeo.com/111483768","Rocking Ankle Mobilization")</f>
        <v>Rocking Ankle Mobilization</v>
      </c>
      <c r="B248" s="11" t="s">
        <v>10</v>
      </c>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45" customHeight="1">
      <c r="A249" s="10" t="str">
        <f>HYPERLINK("https://vimeo.com/111483766","Romanian Deadlift With Dowel")</f>
        <v>Romanian Deadlift With Dowel</v>
      </c>
      <c r="B249" s="11" t="s">
        <v>220</v>
      </c>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45" customHeight="1">
      <c r="A250" s="10" t="str">
        <f>HYPERLINK("https://vimeo.com/111522689","Salute Plank")</f>
        <v>Salute Plank</v>
      </c>
      <c r="B250" s="11" t="s">
        <v>76</v>
      </c>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45" customHeight="1">
      <c r="A251" s="10" t="str">
        <f>HYPERLINK("https://vimeo.com/111522691","Scalene and Upper Trap Mobilization With Lacrosse Ball")</f>
        <v>Scalene and Upper Trap Mobilization With Lacrosse Ball</v>
      </c>
      <c r="B251" s="4" t="s">
        <v>34</v>
      </c>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45" customHeight="1">
      <c r="A252" s="10" t="str">
        <f>HYPERLINK("https://vimeo.com/111522692","Scapular Pushup")</f>
        <v>Scapular Pushup</v>
      </c>
      <c r="B252" s="11" t="s">
        <v>18</v>
      </c>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45" customHeight="1">
      <c r="A253" s="10" t="str">
        <f>HYPERLINK("https://vimeo.com/111522693","Scapular Pushup on Elbows")</f>
        <v>Scapular Pushup on Elbows</v>
      </c>
      <c r="B253" s="11" t="s">
        <v>11</v>
      </c>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45" customHeight="1">
      <c r="A254" s="10" t="str">
        <f>HYPERLINK("https://vimeo.com/111522694","Scapular Wall-Slide")</f>
        <v>Scapular Wall-Slide</v>
      </c>
      <c r="B254" s="4" t="s">
        <v>26</v>
      </c>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45" customHeight="1">
      <c r="A255" s="10" t="str">
        <f>HYPERLINK("https://vimeo.com/111522885","Seated Dumbbell Curl")</f>
        <v>Seated Dumbbell Curl</v>
      </c>
      <c r="B255" s="11" t="s">
        <v>151</v>
      </c>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45" customHeight="1">
      <c r="A256" s="10" t="str">
        <f>HYPERLINK("https://vimeo.com/111522887","Seated Dumbbell Overhead Press")</f>
        <v>Seated Dumbbell Overhead Press</v>
      </c>
      <c r="B256" s="11" t="s">
        <v>104</v>
      </c>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45" customHeight="1">
      <c r="A257" s="10" t="str">
        <f>HYPERLINK("https://vimeo.com/111522888","Side Plank")</f>
        <v>Side Plank</v>
      </c>
      <c r="B257" s="11" t="s">
        <v>57</v>
      </c>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45" customHeight="1">
      <c r="A258" s="10" t="str">
        <f>HYPERLINK("https://vimeo.com/111522889","Side Plank Wall-Slide")</f>
        <v>Side Plank Wall-Slide</v>
      </c>
      <c r="B258" s="4" t="s">
        <v>61</v>
      </c>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45" customHeight="1">
      <c r="A259" s="10" t="str">
        <f>HYPERLINK("https://vimeo.com/111522891","Side Plank Wall-Slide With Arm Abducted")</f>
        <v>Side Plank Wall-Slide With Arm Abducted</v>
      </c>
      <c r="B259" s="4" t="s">
        <v>61</v>
      </c>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45" customHeight="1">
      <c r="A260" s="10" t="str">
        <f>HYPERLINK("https://vimeo.com/111523237","Side Plank With Row")</f>
        <v>Side Plank With Row</v>
      </c>
      <c r="B260" s="11" t="s">
        <v>58</v>
      </c>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45" customHeight="1">
      <c r="A261" s="10" t="str">
        <f>HYPERLINK("https://vimeo.com/111523239","Side-Lying Banded External Rotation With Abduction")</f>
        <v>Side-Lying Banded External Rotation With Abduction</v>
      </c>
      <c r="B261" s="11" t="s">
        <v>165</v>
      </c>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45" customHeight="1">
      <c r="A262" s="10" t="str">
        <f>HYPERLINK("https://vimeo.com/111523239","Side-Lying Cable External Rotation With Abduction")</f>
        <v>Side-Lying Cable External Rotation With Abduction</v>
      </c>
      <c r="B262" s="11" t="s">
        <v>165</v>
      </c>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45" customHeight="1">
      <c r="A263" s="10" t="str">
        <f>HYPERLINK("https://vimeo.com/111523242","Side-Lying Clam Shell")</f>
        <v>Side-Lying Clam Shell</v>
      </c>
      <c r="B263" s="11" t="s">
        <v>27</v>
      </c>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45" customHeight="1">
      <c r="A264" s="10" t="str">
        <f>HYPERLINK("https://vimeo.com/111523245","Side-Lying Dumbbell External Rotation With Abduction")</f>
        <v>Side-Lying Dumbbell External Rotation With Abduction</v>
      </c>
      <c r="B264" s="11" t="s">
        <v>165</v>
      </c>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45" customHeight="1">
      <c r="A265" s="10" t="str">
        <f>HYPERLINK("https://vimeo.com/111523511","Side-Lying Extension Rotation")</f>
        <v>Side-Lying Extension Rotation</v>
      </c>
      <c r="B265" s="11" t="s">
        <v>221</v>
      </c>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45" customHeight="1">
      <c r="A266" s="10" t="str">
        <f>HYPERLINK("https://vimeo.com/111523512","Side-Lying Windmill")</f>
        <v>Side-Lying Windmill</v>
      </c>
      <c r="B266" s="11" t="s">
        <v>35</v>
      </c>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45" customHeight="1">
      <c r="A267" s="10" t="str">
        <f>HYPERLINK("https://vimeo.com/111523513","Single-Arm Band Pull-Apart")</f>
        <v>Single-Arm Band Pull-Apart</v>
      </c>
      <c r="B267" s="11" t="s">
        <v>166</v>
      </c>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45" customHeight="1">
      <c r="A268" s="10" t="str">
        <f>HYPERLINK("https://vimeo.com/111523514","Single-Arm Band Row")</f>
        <v>Single-Arm Band Row</v>
      </c>
      <c r="B268" s="4" t="s">
        <v>222</v>
      </c>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45" customHeight="1">
      <c r="A269" s="10" t="str">
        <f>HYPERLINK("https://vimeo.com/111523516","Single-Arm Dumbbell Bench Press")</f>
        <v>Single-Arm Dumbbell Bench Press</v>
      </c>
      <c r="B269" s="11" t="s">
        <v>88</v>
      </c>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45" customHeight="1">
      <c r="A270" s="10" t="str">
        <f>HYPERLINK("https://vimeo.com/111524882","Single-Arm Dumbbell Curl")</f>
        <v>Single-Arm Dumbbell Curl</v>
      </c>
      <c r="B270" s="11" t="s">
        <v>151</v>
      </c>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45" customHeight="1">
      <c r="A271" s="10" t="str">
        <f>HYPERLINK("https://vimeo.com/111524883","Single-Arm Dumbbell Floor Press")</f>
        <v>Single-Arm Dumbbell Floor Press</v>
      </c>
      <c r="B271" s="11" t="s">
        <v>86</v>
      </c>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45" customHeight="1">
      <c r="A272" s="10" t="str">
        <f>HYPERLINK("https://vimeo.com/111524885","Single-Arm Dumbbell Push Press")</f>
        <v>Single-Arm Dumbbell Push Press</v>
      </c>
      <c r="B272" s="11" t="s">
        <v>105</v>
      </c>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45" customHeight="1">
      <c r="A273" s="10" t="str">
        <f>HYPERLINK("https://vimeo.com/111524886","Single-Arm Dumbbell Reverse Lunge")</f>
        <v>Single-Arm Dumbbell Reverse Lunge</v>
      </c>
      <c r="B273" s="11" t="s">
        <v>138</v>
      </c>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45" customHeight="1">
      <c r="A274" s="10" t="str">
        <f>HYPERLINK("https://vimeo.com/111524887","Single-Arm Dumbbell Reverse Lunge From Deficit")</f>
        <v>Single-Arm Dumbbell Reverse Lunge From Deficit</v>
      </c>
      <c r="B274" s="11" t="s">
        <v>138</v>
      </c>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45" customHeight="1">
      <c r="A275" s="10" t="str">
        <f>HYPERLINK("https://vimeo.com/111525382","Single-Arm Dumbbell Reverse Lunge to Romanian Deadlift")</f>
        <v>Single-Arm Dumbbell Reverse Lunge to Romanian Deadlift</v>
      </c>
      <c r="B275" s="11" t="s">
        <v>141</v>
      </c>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45" customHeight="1">
      <c r="A276" s="10" t="str">
        <f>HYPERLINK("https://vimeo.com/111525383","Single-Arm Dumbbell Reverse Lunge With Blocked Knee")</f>
        <v>Single-Arm Dumbbell Reverse Lunge With Blocked Knee</v>
      </c>
      <c r="B276" s="11" t="s">
        <v>138</v>
      </c>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45" customHeight="1">
      <c r="A277" s="10" t="str">
        <f>HYPERLINK("https://vimeo.com/111525384","Single-Arm Dumbbell Romanian Deadlift")</f>
        <v>Single-Arm Dumbbell Romanian Deadlift</v>
      </c>
      <c r="B277" s="11" t="s">
        <v>223</v>
      </c>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45" customHeight="1">
      <c r="A278" s="10" t="str">
        <f>HYPERLINK("https://vimeo.com/111525385","Single-Arm Dumbbell Row")</f>
        <v>Single-Arm Dumbbell Row</v>
      </c>
      <c r="B278" s="4" t="s">
        <v>113</v>
      </c>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45" customHeight="1">
      <c r="A279" s="10" t="str">
        <f>HYPERLINK("https://vimeo.com/111525388","Single-Arm Dumbbell Slideboard Reverse Lunge")</f>
        <v>Single-Arm Dumbbell Slideboard Reverse Lunge</v>
      </c>
      <c r="B279" s="11" t="s">
        <v>138</v>
      </c>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45" customHeight="1">
      <c r="A280" s="10" t="str">
        <f>HYPERLINK("https://vimeo.com/111526577","Single-Arm Dumbbell Split Squat")</f>
        <v>Single-Arm Dumbbell Split Squat</v>
      </c>
      <c r="B280" s="11" t="s">
        <v>139</v>
      </c>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45" customHeight="1">
      <c r="A281" s="10" t="str">
        <f>HYPERLINK("https://vimeo.com/111526578","Single-Arm Dumbbell Step-Up")</f>
        <v>Single-Arm Dumbbell Step-Up</v>
      </c>
      <c r="B281" s="11" t="s">
        <v>224</v>
      </c>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45" customHeight="1">
      <c r="A282" s="10" t="str">
        <f>HYPERLINK("https://vimeo.com/111526579","Single-Arm Face Pull")</f>
        <v>Single-Arm Face Pull</v>
      </c>
      <c r="B282" s="11" t="s">
        <v>167</v>
      </c>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45" customHeight="1">
      <c r="A283" s="10" t="str">
        <f>HYPERLINK("https://vimeo.com/111526580","Single-Arm Half-Kneeling Band Press")</f>
        <v>Single-Arm Half-Kneeling Band Press</v>
      </c>
      <c r="B283" s="11" t="s">
        <v>100</v>
      </c>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45" customHeight="1">
      <c r="A284" s="10" t="str">
        <f>HYPERLINK("https://vimeo.com/111526581","Single-Arm Half-Kneeling Band Pull-Down")</f>
        <v>Single-Arm Half-Kneeling Band Pull-Down</v>
      </c>
      <c r="B284" s="11" t="s">
        <v>123</v>
      </c>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45" customHeight="1">
      <c r="A285" s="10" t="s">
        <v>2</v>
      </c>
      <c r="B285" s="4" t="s">
        <v>225</v>
      </c>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45" customHeight="1">
      <c r="A286" s="10" t="str">
        <f>HYPERLINK("https://vimeo.com/111532989","Single-Arm Half-Kneeling Cable Press")</f>
        <v>Single-Arm Half-Kneeling Cable Press</v>
      </c>
      <c r="B286" s="11" t="s">
        <v>101</v>
      </c>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45" customHeight="1">
      <c r="A287" s="10" t="str">
        <f>HYPERLINK("https://vimeo.com/111532990","Single-Arm Half-Kneeling Cable Row")</f>
        <v>Single-Arm Half-Kneeling Cable Row</v>
      </c>
      <c r="B287" s="4" t="s">
        <v>226</v>
      </c>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45" customHeight="1">
      <c r="A288" s="10" t="str">
        <f>HYPERLINK("https://vimeo.com/111532993","Single-Arm Hands-Elevated Pushup")</f>
        <v>Single-Arm Hands-Elevated Pushup</v>
      </c>
      <c r="B288" s="11" t="s">
        <v>96</v>
      </c>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45" customHeight="1">
      <c r="A289" s="10" t="str">
        <f>HYPERLINK("https://vimeo.com/111532996","Single-Arm Landmine Press")</f>
        <v>Single-Arm Landmine Press</v>
      </c>
      <c r="B289" s="11" t="s">
        <v>227</v>
      </c>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45" customHeight="1">
      <c r="A290" s="10" t="str">
        <f>HYPERLINK("https://vimeo.com/111541974","Single-Arm Landmine Row")</f>
        <v>Single-Arm Landmine Row</v>
      </c>
      <c r="B290" s="4" t="s">
        <v>113</v>
      </c>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45" customHeight="1">
      <c r="A291" s="10" t="str">
        <f>HYPERLINK("https://vimeo.com/111541980","Single-Arm Lying Dumbbell Rolling Triceps Extension")</f>
        <v>Single-Arm Lying Dumbbell Rolling Triceps Extension</v>
      </c>
      <c r="B291" s="11" t="s">
        <v>159</v>
      </c>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45" customHeight="1">
      <c r="A292" s="10" t="str">
        <f>HYPERLINK("https://vimeo.com/111541980","Single-Arm Lying Dumbbell Triceps Extension")</f>
        <v>Single-Arm Lying Dumbbell Triceps Extension</v>
      </c>
      <c r="B292" s="11" t="s">
        <v>158</v>
      </c>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45" customHeight="1">
      <c r="A293" s="10" t="str">
        <f>HYPERLINK("https://vimeo.com/111541983","Single-Arm Overhead Band Press")</f>
        <v>Single-Arm Overhead Band Press</v>
      </c>
      <c r="B293" s="11" t="s">
        <v>210</v>
      </c>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45" customHeight="1">
      <c r="A294" s="10" t="str">
        <f>HYPERLINK("https://vimeo.com/111543715","Single-Arm Overhead Dumbbell Reverse Lunge")</f>
        <v>Single-Arm Overhead Dumbbell Reverse Lunge</v>
      </c>
      <c r="B294" s="11" t="s">
        <v>138</v>
      </c>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45" customHeight="1">
      <c r="A295" s="10" t="str">
        <f>HYPERLINK("https://vimeo.com/111543716","Single-Arm Overhead Dumbbell Reverse Lunge From Deficit")</f>
        <v>Single-Arm Overhead Dumbbell Reverse Lunge From Deficit</v>
      </c>
      <c r="B295" s="11" t="s">
        <v>138</v>
      </c>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45" customHeight="1">
      <c r="A296" s="10" t="str">
        <f>HYPERLINK("https://vimeo.com/111543717","Single-Arm Plank")</f>
        <v>Single-Arm Plank</v>
      </c>
      <c r="B296" s="11" t="s">
        <v>76</v>
      </c>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45" customHeight="1">
      <c r="A297" s="10" t="str">
        <f>HYPERLINK("https://vimeo.com/111543719","Single-Arm Plate Curl")</f>
        <v>Single-Arm Plate Curl</v>
      </c>
      <c r="B297" s="11" t="s">
        <v>153</v>
      </c>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45" customHeight="1">
      <c r="A298" s="10" t="str">
        <f>HYPERLINK("https://vimeo.com/111543721","Single-Arm Seated Overhead Dumbbell Press")</f>
        <v>Single-Arm Seated Overhead Dumbbell Press</v>
      </c>
      <c r="B298" s="11" t="s">
        <v>104</v>
      </c>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45" customHeight="1">
      <c r="A299" s="10" t="str">
        <f>HYPERLINK("https://vimeo.com/111544495","Single-Arm Standing Band Row")</f>
        <v>Single-Arm Standing Band Row</v>
      </c>
      <c r="B299" s="11" t="s">
        <v>228</v>
      </c>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45" customHeight="1">
      <c r="A300" s="10" t="str">
        <f>HYPERLINK("https://vimeo.com/111544497","Single-Arm Standing Cable Row")</f>
        <v>Single-Arm Standing Cable Row</v>
      </c>
      <c r="B300" s="11" t="s">
        <v>229</v>
      </c>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45" customHeight="1">
      <c r="A301" s="10" t="str">
        <f>HYPERLINK("https://vimeo.com/111544500","Single-Arm Standing Split-Stance Band Press")</f>
        <v>Single-Arm Standing Split-Stance Band Press</v>
      </c>
      <c r="B301" s="11" t="s">
        <v>102</v>
      </c>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45" customHeight="1">
      <c r="A302" s="10" t="str">
        <f>HYPERLINK("https://vimeo.com/111544501","Single-Arm Standing Split-Stance Band Row")</f>
        <v>Single-Arm Standing Split-Stance Band Row</v>
      </c>
      <c r="B302" s="4" t="s">
        <v>111</v>
      </c>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45" customHeight="1">
      <c r="A303" s="10" t="str">
        <f>HYPERLINK("https://vimeo.com/111544505","Single-Arm Standing Split-Stance Cable Press")</f>
        <v>Single-Arm Standing Split-Stance Cable Press</v>
      </c>
      <c r="B303" s="11" t="s">
        <v>103</v>
      </c>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45" customHeight="1">
      <c r="A304" s="10" t="str">
        <f>HYPERLINK("https://vimeo.com/111544999","Single-Arm Standing Split-Stance Cable Row")</f>
        <v>Single-Arm Standing Split-Stance Cable Row</v>
      </c>
      <c r="B304" s="4" t="s">
        <v>117</v>
      </c>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45" customHeight="1">
      <c r="A305" s="10" t="str">
        <f>HYPERLINK("https://vimeo.com/111545000","Single-Arm Tall-Kneeling Overhead Dumbbell Press")</f>
        <v>Single-Arm Tall-Kneeling Overhead Dumbbell Press</v>
      </c>
      <c r="B305" s="11" t="s">
        <v>230</v>
      </c>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45" customHeight="1">
      <c r="A306" s="10" t="str">
        <f>HYPERLINK("https://vimeo.com/111545001","Single-Arm Walking Dumbbell Farmer’s Carry")</f>
        <v>Single-Arm Walking Dumbbell Farmer’s Carry</v>
      </c>
      <c r="B306" s="11" t="s">
        <v>231</v>
      </c>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45" customHeight="1">
      <c r="A307" s="10" t="str">
        <f>HYPERLINK("https://vimeo.com/111545003","Single-Leg Band-Resisted Pushup")</f>
        <v>Single-Leg Band-Resisted Pushup</v>
      </c>
      <c r="B307" s="11" t="s">
        <v>93</v>
      </c>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45" customHeight="1">
      <c r="A308" s="10" t="str">
        <f>HYPERLINK("https://vimeo.com/111545004","Single-Leg Band-Resisted Romanian Deadlift")</f>
        <v>Single-Leg Band-Resisted Romanian Deadlift</v>
      </c>
      <c r="B308" s="4" t="s">
        <v>149</v>
      </c>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45" customHeight="1">
      <c r="A309" s="10" t="str">
        <f>HYPERLINK("https://vimeo.com/111545570","Single-Leg Barbell Glute Bridge")</f>
        <v>Single-Leg Barbell Glute Bridge</v>
      </c>
      <c r="B309" s="11" t="s">
        <v>232</v>
      </c>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45" customHeight="1">
      <c r="A310" s="10" t="str">
        <f>HYPERLINK("https://vimeo.com/111545571","Single-Leg Barbell Romanian Deadlift")</f>
        <v>Single-Leg Barbell Romanian Deadlift</v>
      </c>
      <c r="B310" s="11" t="s">
        <v>233</v>
      </c>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45" customHeight="1">
      <c r="A311" s="10" t="str">
        <f>HYPERLINK("https://vimeo.com/111545574","Single-Leg Dumbbell Romanian Deadlift")</f>
        <v>Single-Leg Dumbbell Romanian Deadlift</v>
      </c>
      <c r="B311" s="11" t="s">
        <v>233</v>
      </c>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45" customHeight="1">
      <c r="A312" s="10" t="str">
        <f>HYPERLINK("https://vimeo.com/111545575","Single-Leg Eccentric Squat to Box")</f>
        <v>Single-Leg Eccentric Squat to Box</v>
      </c>
      <c r="B312" s="11" t="s">
        <v>143</v>
      </c>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45" customHeight="1">
      <c r="A313" s="10" t="str">
        <f>HYPERLINK("https://vimeo.com/111545577","Single-Leg Feet-Elevated Band-Resisted Pushup")</f>
        <v>Single-Leg Feet-Elevated Band-Resisted Pushup</v>
      </c>
      <c r="B313" s="11" t="s">
        <v>93</v>
      </c>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45" customHeight="1">
      <c r="A314" s="10" t="str">
        <f>HYPERLINK("https://vimeo.com/111546504","Single-Leg Feet-Elevated Pushup")</f>
        <v>Single-Leg Feet-Elevated Pushup</v>
      </c>
      <c r="B314" s="11" t="s">
        <v>93</v>
      </c>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45" customHeight="1">
      <c r="A315" s="10" t="str">
        <f>HYPERLINK("https://vimeo.com/111546505","Single-Leg Glute Bridge")</f>
        <v>Single-Leg Glute Bridge</v>
      </c>
      <c r="B315" s="4" t="s">
        <v>12</v>
      </c>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45" customHeight="1">
      <c r="A316" s="10" t="str">
        <f>HYPERLINK("https://vimeo.com/111546507","Single-Leg Hip Thrust")</f>
        <v>Single-Leg Hip Thrust</v>
      </c>
      <c r="B316" s="11" t="s">
        <v>146</v>
      </c>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45" customHeight="1">
      <c r="A317" s="10" t="str">
        <f>HYPERLINK("https://vimeo.com/111546513","Single-Leg Offset Dumbbell Romanian Deadlift")</f>
        <v>Single-Leg Offset Dumbbell Romanian Deadlift</v>
      </c>
      <c r="B317" s="11" t="s">
        <v>234</v>
      </c>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45" customHeight="1">
      <c r="A318" s="10" t="str">
        <f>HYPERLINK("https://vimeo.com/111546516","Single-Leg Plank")</f>
        <v>Single-Leg Plank</v>
      </c>
      <c r="B318" s="11" t="s">
        <v>77</v>
      </c>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45" customHeight="1">
      <c r="A319" s="10" t="str">
        <f>HYPERLINK("https://vimeo.com/111548108","Single-Leg Pushup")</f>
        <v>Single-Leg Pushup</v>
      </c>
      <c r="B319" s="11" t="s">
        <v>93</v>
      </c>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45" customHeight="1">
      <c r="A320" s="10" t="str">
        <f>HYPERLINK("https://vimeo.com/111548109","Single-Leg Pushup Iso")</f>
        <v>Single-Leg Pushup Iso</v>
      </c>
      <c r="B320" s="11" t="s">
        <v>94</v>
      </c>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45" customHeight="1">
      <c r="A321" s="10" t="str">
        <f>HYPERLINK("https://vimeo.com/111548110","Single-Leg Single-Arm Dumbbell Romanian Deadlift")</f>
        <v>Single-Leg Single-Arm Dumbbell Romanian Deadlift</v>
      </c>
      <c r="B321" s="11" t="s">
        <v>233</v>
      </c>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45" customHeight="1">
      <c r="A322" s="10" t="str">
        <f>HYPERLINK("https://vimeo.com/111548112","Single-Leg Slideboard Bodysaw")</f>
        <v>Single-Leg Slideboard Bodysaw</v>
      </c>
      <c r="B322" s="11" t="s">
        <v>55</v>
      </c>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45" customHeight="1">
      <c r="A323" s="10" t="str">
        <f>HYPERLINK("https://vimeo.com/111548113","Single-Leg Slideboard Leg Curl")</f>
        <v>Single-Leg Slideboard Leg Curl</v>
      </c>
      <c r="B323" s="11" t="s">
        <v>147</v>
      </c>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45" customHeight="1">
      <c r="A324" s="10" t="str">
        <f>HYPERLINK("https://vimeo.com/111550275","Single-Leg Squat to Box")</f>
        <v>Single-Leg Squat to Box</v>
      </c>
      <c r="B324" s="11" t="s">
        <v>144</v>
      </c>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45" customHeight="1">
      <c r="A325" s="10" t="str">
        <f>HYPERLINK("https://vimeo.com/111550276","Single-Leg Supine Hips-Elevated Leg Curl")</f>
        <v>Single-Leg Supine Hips-Elevated Leg Curl</v>
      </c>
      <c r="B325" s="11" t="s">
        <v>148</v>
      </c>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45" customHeight="1">
      <c r="A326" s="10" t="str">
        <f>HYPERLINK("https://vimeo.com/111550279","Slideboard Bodysaw")</f>
        <v>Slideboard Bodysaw</v>
      </c>
      <c r="B326" s="11" t="s">
        <v>55</v>
      </c>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45" customHeight="1">
      <c r="A327" s="10" t="str">
        <f>HYPERLINK("https://vimeo.com/111550283","Slideboard Leg Curl")</f>
        <v>Slideboard Leg Curl</v>
      </c>
      <c r="B327" s="11" t="s">
        <v>235</v>
      </c>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45" customHeight="1">
      <c r="A328" s="10" t="str">
        <f>HYPERLINK("https://vimeo.com/111550284","Spiderman Pushup")</f>
        <v>Spiderman Pushup</v>
      </c>
      <c r="B328" s="11" t="s">
        <v>97</v>
      </c>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45" customHeight="1">
      <c r="A329" s="10" t="str">
        <f>HYPERLINK("https://vimeo.com/111551382","Split-Stance Dumbbell Push Press")</f>
        <v>Split-Stance Dumbbell Push Press</v>
      </c>
      <c r="B329" s="11" t="s">
        <v>105</v>
      </c>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45" customHeight="1">
      <c r="A330" s="10" t="str">
        <f>HYPERLINK("https://vimeo.com/111551383","Squat to Stand")</f>
        <v>Squat to Stand</v>
      </c>
      <c r="B330" s="11" t="s">
        <v>236</v>
      </c>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45" customHeight="1">
      <c r="A331" s="10" t="str">
        <f>HYPERLINK("https://vimeo.com/111551384","Squat to Stand With Overhead Reach")</f>
        <v>Squat to Stand With Overhead Reach</v>
      </c>
      <c r="B331" s="11" t="s">
        <v>237</v>
      </c>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45" customHeight="1">
      <c r="A332" s="10" t="str">
        <f>HYPERLINK("https://vimeo.com/111551386","Stability Ball Rollout")</f>
        <v>Stability Ball Rollout</v>
      </c>
      <c r="B332" s="11" t="s">
        <v>54</v>
      </c>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45" customHeight="1">
      <c r="A333" s="10" t="str">
        <f>HYPERLINK("https://vimeo.com/111551388","Staggered-Stance Deep Squat Breathing")</f>
        <v>Staggered-Stance Deep Squat Breathing</v>
      </c>
      <c r="B333" s="11" t="s">
        <v>36</v>
      </c>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45" customHeight="1">
      <c r="A334" s="10" t="str">
        <f>HYPERLINK("https://vimeo.com/111551973","Standing Barbell Overhead Press")</f>
        <v>Standing Barbell Overhead Press</v>
      </c>
      <c r="B334" s="11" t="s">
        <v>238</v>
      </c>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45" customHeight="1">
      <c r="A335" s="10" t="str">
        <f>HYPERLINK("https://vimeo.com/111551974","Standing Split-Stance Landmine Press")</f>
        <v>Standing Split-Stance Landmine Press</v>
      </c>
      <c r="B335" s="11" t="s">
        <v>239</v>
      </c>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45" customHeight="1">
      <c r="A336" s="10" t="str">
        <f>HYPERLINK("https://vimeo.com/111551975","Standing Thoracic Extension Rotation")</f>
        <v>Standing Thoracic Extension Rotation</v>
      </c>
      <c r="B336" s="11" t="s">
        <v>37</v>
      </c>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45" customHeight="1">
      <c r="A337" s="10" t="str">
        <f>HYPERLINK("https://vimeo.com/111551976","Stir-The-Pot")</f>
        <v>Stir-The-Pot</v>
      </c>
      <c r="B337" s="11" t="s">
        <v>55</v>
      </c>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45" customHeight="1">
      <c r="A338" s="10" t="str">
        <f>HYPERLINK("https://vimeo.com/111553039","Super Couch Stretch")</f>
        <v>Super Couch Stretch</v>
      </c>
      <c r="B338" s="11" t="s">
        <v>25</v>
      </c>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45" customHeight="1">
      <c r="A339" s="10" t="str">
        <f>HYPERLINK("https://vimeo.com/111553041","Super Couch Stretch Without Bench")</f>
        <v>Super Couch Stretch Without Bench</v>
      </c>
      <c r="B339" s="11" t="s">
        <v>28</v>
      </c>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45" customHeight="1">
      <c r="A340" s="10" t="str">
        <f>HYPERLINK("https://vimeo.com/111553044","Supine Banded No Money Drill")</f>
        <v>Supine Banded No Money Drill</v>
      </c>
      <c r="B340" s="11" t="s">
        <v>169</v>
      </c>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45" customHeight="1">
      <c r="A341" s="10" t="str">
        <f>HYPERLINK("https://vimeo.com/111553045","Supine Banded Scapular Protraction")</f>
        <v>Supine Banded Scapular Protraction</v>
      </c>
      <c r="B341" s="11" t="s">
        <v>171</v>
      </c>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45" customHeight="1">
      <c r="A342" s="10" t="str">
        <f>HYPERLINK("https://vimeo.com/111553047","Supine Glute Bridge")</f>
        <v>Supine Glute Bridge</v>
      </c>
      <c r="B342" s="4" t="s">
        <v>12</v>
      </c>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45" customHeight="1">
      <c r="A343" s="10" t="str">
        <f>HYPERLINK("https://vimeo.com/111555105","Supine Hips-Extended Leg Curl")</f>
        <v>Supine Hips-Extended Leg Curl</v>
      </c>
      <c r="B343" s="11" t="s">
        <v>240</v>
      </c>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45" customHeight="1">
      <c r="A344" s="10" t="str">
        <f>HYPERLINK("https://vimeo.com/111555106","Supine Knee to Knee Pull-In")</f>
        <v>Supine Knee to Knee Pull-In</v>
      </c>
      <c r="B344" s="11" t="s">
        <v>241</v>
      </c>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45" customHeight="1">
      <c r="A345" s="10" t="str">
        <f>HYPERLINK("https://vimeo.com/111555108","Supine Psoas March")</f>
        <v>Supine Psoas March</v>
      </c>
      <c r="B345" s="11" t="s">
        <v>177</v>
      </c>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45" customHeight="1">
      <c r="A346" s="10" t="str">
        <f>HYPERLINK("https://vimeo.com/111555109","T-Bar Row")</f>
        <v>T-Bar Row</v>
      </c>
      <c r="B346" s="4" t="s">
        <v>119</v>
      </c>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45" customHeight="1">
      <c r="A347" s="10" t="str">
        <f>HYPERLINK("https://vimeo.com/111555111","T-Pushup")</f>
        <v>T-Pushup</v>
      </c>
      <c r="B347" s="11" t="s">
        <v>98</v>
      </c>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45" customHeight="1">
      <c r="A348" s="10" t="str">
        <f>HYPERLINK("https://vimeo.com/112070470","Tall-Kneeling Overhead Pallof Press")</f>
        <v>Tall-Kneeling Overhead Pallof Press</v>
      </c>
      <c r="B348" s="11" t="s">
        <v>59</v>
      </c>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45" customHeight="1">
      <c r="A349" s="10" t="str">
        <f>HYPERLINK("https://vimeo.com/111557000","Tall-Kneeling Band Chop")</f>
        <v>Tall-Kneeling Band Chop</v>
      </c>
      <c r="B349" s="11" t="s">
        <v>83</v>
      </c>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45" customHeight="1">
      <c r="A350" s="10" t="str">
        <f>HYPERLINK("https://vimeo.com/111556999","Tall-Kneeling Band Lift")</f>
        <v>Tall-Kneeling Band Lift</v>
      </c>
      <c r="B350" s="11" t="s">
        <v>84</v>
      </c>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45" customHeight="1">
      <c r="A351" s="10" t="str">
        <f>HYPERLINK("https://vimeo.com/111556997","Tall-Kneeling Cable Chop")</f>
        <v>Tall-Kneeling Cable Chop</v>
      </c>
      <c r="B351" s="11" t="s">
        <v>85</v>
      </c>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45" customHeight="1">
      <c r="A352" s="10" t="str">
        <f>HYPERLINK("https://vimeo.com/111556998","Tall-Kneeling Cable Lift")</f>
        <v>Tall-Kneeling Cable Lift</v>
      </c>
      <c r="B352" s="11" t="s">
        <v>84</v>
      </c>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45" customHeight="1">
      <c r="A353" s="10" t="str">
        <f>HYPERLINK("https://vimeo.com/112070466","Tall-Kneeling Landmine Press")</f>
        <v>Tall-Kneeling Landmine Press</v>
      </c>
      <c r="B353" s="11" t="s">
        <v>242</v>
      </c>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45" customHeight="1">
      <c r="A354" s="10" t="str">
        <f>HYPERLINK("https://vimeo.com/112070469","Tall-Kneeling Pallof Press")</f>
        <v>Tall-Kneeling Pallof Press</v>
      </c>
      <c r="B354" s="11" t="s">
        <v>66</v>
      </c>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45" customHeight="1">
      <c r="A355" s="10" t="str">
        <f>HYPERLINK("https://vimeo.com/112070473","Tall-Kneeling Pallof Press Iso")</f>
        <v>Tall-Kneeling Pallof Press Iso</v>
      </c>
      <c r="B355" s="11" t="s">
        <v>67</v>
      </c>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45" customHeight="1">
      <c r="A356" s="10" t="str">
        <f>HYPERLINK("https://vimeo.com/112070474","Tall-Kneeling Pallof Press Iso With Band")</f>
        <v>Tall-Kneeling Pallof Press Iso With Band</v>
      </c>
      <c r="B356" s="11" t="s">
        <v>67</v>
      </c>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45" customHeight="1">
      <c r="A357" s="10" t="str">
        <f>HYPERLINK("https://vimeo.com/112071998","Tall-Kneeling Pallof Press With Band")</f>
        <v>Tall-Kneeling Pallof Press With Band</v>
      </c>
      <c r="B357" s="11" t="s">
        <v>66</v>
      </c>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45" customHeight="1">
      <c r="A358" s="10" t="str">
        <f>HYPERLINK("https://vimeo.com/112072000","Thoracic Mobilization on Foam Roller")</f>
        <v>Thoracic Mobilization on Foam Roller</v>
      </c>
      <c r="B358" s="11" t="s">
        <v>243</v>
      </c>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45" customHeight="1">
      <c r="A359" s="10" t="str">
        <f>HYPERLINK("https://vimeo.com/112072001","Thoracic Mobilization With Bench")</f>
        <v>Thoracic Mobilization With Bench</v>
      </c>
      <c r="B359" s="11" t="s">
        <v>244</v>
      </c>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45" customHeight="1">
      <c r="A360" s="10" t="str">
        <f>HYPERLINK("https://vimeo.com/112072002","Toy Soldier")</f>
        <v>Toy Soldier</v>
      </c>
      <c r="B360" s="11" t="s">
        <v>39</v>
      </c>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45" customHeight="1">
      <c r="A361" s="10" t="str">
        <f>HYPERLINK("https://vimeo.com/112072003","Trap Bar Deadlift")</f>
        <v>Trap Bar Deadlift</v>
      </c>
      <c r="B361" s="11" t="s">
        <v>190</v>
      </c>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45" customHeight="1">
      <c r="A362" s="10" t="str">
        <f>HYPERLINK("https://vimeo.com/112074200","Triceps Press-Down")</f>
        <v>Triceps Press-Down</v>
      </c>
      <c r="B362" s="11" t="s">
        <v>154</v>
      </c>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45" customHeight="1">
      <c r="A363" s="10" t="str">
        <f>HYPERLINK("https://vimeo.com/112074201","Turkish Get-up")</f>
        <v>Turkish Get-up</v>
      </c>
      <c r="B363" s="11" t="s">
        <v>80</v>
      </c>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45" customHeight="1">
      <c r="A364" s="10" t="str">
        <f>HYPERLINK("https://vimeo.com/112074202","Walking Dumbbell Cross-Carry")</f>
        <v>Walking Dumbbell Cross-Carry</v>
      </c>
      <c r="B364" s="11" t="s">
        <v>245</v>
      </c>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45" customHeight="1">
      <c r="A365" s="10" t="str">
        <f>HYPERLINK("https://vimeo.com/112074203","Walking Dumbbell Lunge")</f>
        <v>Walking Dumbbell Lunge</v>
      </c>
      <c r="B365" s="11" t="s">
        <v>134</v>
      </c>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45" customHeight="1">
      <c r="A366" s="10" t="str">
        <f>HYPERLINK("https://vimeo.com/112074204","Walking Farmer's Carry")</f>
        <v>Walking Farmer's Carry</v>
      </c>
      <c r="B366" s="11" t="s">
        <v>231</v>
      </c>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45" customHeight="1">
      <c r="A367" s="10" t="str">
        <f>HYPERLINK("https://vimeo.com/112077594","Walking Fat Grip Farmer's Carry")</f>
        <v>Walking Fat Grip Farmer's Carry</v>
      </c>
      <c r="B367" s="11" t="s">
        <v>231</v>
      </c>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45" customHeight="1">
      <c r="A368" s="10" t="str">
        <f>HYPERLINK("https://vimeo.com/112077592","Walking Goblet Carry")</f>
        <v>Walking Goblet Carry</v>
      </c>
      <c r="B368" s="11" t="s">
        <v>231</v>
      </c>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45" customHeight="1">
      <c r="A369" s="10" t="str">
        <f>HYPERLINK("https://vimeo.com/112078544","Walking Goblet Heartbeat Carry")</f>
        <v>Walking Goblet Heartbeat Carry</v>
      </c>
      <c r="B369" s="11" t="s">
        <v>81</v>
      </c>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45" customHeight="1">
      <c r="A370" s="10" t="str">
        <f>HYPERLINK("https://vimeo.com/112077593","Walking Goblet Lunge")</f>
        <v>Walking Goblet Lunge</v>
      </c>
      <c r="B370" s="11" t="s">
        <v>134</v>
      </c>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45" customHeight="1">
      <c r="A371" s="10" t="str">
        <f>HYPERLINK("https://vimeo.com/112078545","Walking Knee to Chest")</f>
        <v>Walking Knee to Chest</v>
      </c>
      <c r="B371" s="11" t="s">
        <v>40</v>
      </c>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45" customHeight="1">
      <c r="A372" s="10" t="str">
        <f>HYPERLINK("https://vimeo.com/112078547","Walking Offset Dumbbell Lunge")</f>
        <v>Walking Offset Dumbbell Lunge</v>
      </c>
      <c r="B372" s="11" t="s">
        <v>137</v>
      </c>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45" customHeight="1">
      <c r="A373" s="10" t="str">
        <f>HYPERLINK("https://vimeo.com/112078552","Walking Pull-Back Butt Kick")</f>
        <v>Walking Pull-Back Butt Kick</v>
      </c>
      <c r="B373" s="11" t="s">
        <v>41</v>
      </c>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45" customHeight="1">
      <c r="A374" s="10" t="str">
        <f>HYPERLINK("https://vimeo.com/112078555","Walking Single-Arm Bottom-Up Kettlebell Racked Carry")</f>
        <v>Walking Single-Arm Bottom-Up Kettlebell Racked Carry</v>
      </c>
      <c r="B374" s="11" t="s">
        <v>231</v>
      </c>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45" customHeight="1">
      <c r="A375" s="10" t="str">
        <f>HYPERLINK("https://vimeo.com/112080363","Walking Spiderman")</f>
        <v>Walking Spiderman</v>
      </c>
      <c r="B375" s="11" t="s">
        <v>46</v>
      </c>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45" customHeight="1">
      <c r="A376" s="10" t="str">
        <f>HYPERLINK("https://vimeo.com/112080364","Walking Spiderman With Hip Lift")</f>
        <v>Walking Spiderman With Hip Lift</v>
      </c>
      <c r="B376" s="11" t="s">
        <v>49</v>
      </c>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45" customHeight="1">
      <c r="A377" s="10" t="str">
        <f>HYPERLINK("https://vimeo.com/112080360","Walking Spiderman With Overhead Reach")</f>
        <v>Walking Spiderman With Overhead Reach</v>
      </c>
      <c r="B377" s="11" t="s">
        <v>50</v>
      </c>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45" customHeight="1">
      <c r="A378" s="10" t="str">
        <f>HYPERLINK("https://vimeo.com/112084179","Walking Spiderman With Overhead Reach and Hip Lift")</f>
        <v>Walking Spiderman With Overhead Reach and Hip Lift</v>
      </c>
      <c r="B378" s="11" t="s">
        <v>51</v>
      </c>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45" customHeight="1">
      <c r="A379" s="10" t="str">
        <f>HYPERLINK("https://vimeo.com/112080361","Walking Two-Arm Waiter’s Carry")</f>
        <v>Walking Two-Arm Waiter’s Carry</v>
      </c>
      <c r="B379" s="11" t="s">
        <v>246</v>
      </c>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45" customHeight="1">
      <c r="A380" s="10" t="str">
        <f>HYPERLINK("https://vimeo.com/112084178","Walking Waiter's Carry")</f>
        <v>Walking Waiter's Carry</v>
      </c>
      <c r="B380" s="11" t="s">
        <v>247</v>
      </c>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45" customHeight="1">
      <c r="A381" s="10" t="str">
        <f>HYPERLINK("https://vimeo.com/112086186","Walking Warrior Lunge")</f>
        <v>Walking Warrior Lunge</v>
      </c>
      <c r="B381" s="11" t="s">
        <v>47</v>
      </c>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45" customHeight="1">
      <c r="A382" s="10" t="str">
        <f>HYPERLINK("https://vimeo.com/112084180","Wall Ankle Mobilization")</f>
        <v>Wall Ankle Mobilization</v>
      </c>
      <c r="B382" s="11" t="s">
        <v>248</v>
      </c>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45" customHeight="1">
      <c r="A383" s="10" t="str">
        <f>HYPERLINK("https://vimeo.com/112086187","Wall Glute Iso March")</f>
        <v>Wall Glute Iso March</v>
      </c>
      <c r="B383" s="11" t="s">
        <v>249</v>
      </c>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45" customHeight="1">
      <c r="A384" s="10" t="str">
        <f>HYPERLINK("https://vimeo.com/112088562","Wall Hip Flexor Mobilization")</f>
        <v>Wall Hip Flexor Mobilization</v>
      </c>
      <c r="B384" s="11" t="s">
        <v>250</v>
      </c>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45" customHeight="1">
      <c r="A385" s="10" t="str">
        <f>HYPERLINK("https://vimeo.com/112088563","Wall-Press Abs")</f>
        <v>Wall-Press Abs</v>
      </c>
      <c r="B385" s="4" t="s">
        <v>73</v>
      </c>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45" customHeight="1">
      <c r="A386" s="10" t="str">
        <f>HYPERLINK("https://vimeo.com/112088565","Warrior Lunge With Overhead Reach")</f>
        <v>Warrior Lunge With Overhead Reach</v>
      </c>
      <c r="B386" s="11" t="s">
        <v>48</v>
      </c>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45" customHeight="1">
      <c r="A387" s="10" t="str">
        <f>HYPERLINK("https://vimeo.com/112088567","Weighted Chin-Up")</f>
        <v>Weighted Chin-Up</v>
      </c>
      <c r="B387" s="11" t="s">
        <v>121</v>
      </c>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45" customHeight="1">
      <c r="A388" s="10" t="str">
        <f>HYPERLINK("https://vimeo.com/112088566","Weighted Neutral-Grip Pull-Up")</f>
        <v>Weighted Neutral-Grip Pull-Up</v>
      </c>
      <c r="B388" s="11" t="s">
        <v>121</v>
      </c>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45" customHeight="1">
      <c r="A389" s="10" t="str">
        <f>HYPERLINK("https://vimeo.com/112089799","Weighted Pushup")</f>
        <v>Weighted Pushup</v>
      </c>
      <c r="B389" s="11" t="s">
        <v>89</v>
      </c>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45" customHeight="1">
      <c r="A390" s="10" t="str">
        <f>HYPERLINK("https://vimeo.com/112089800","Weighted Ring Pushup")</f>
        <v>Weighted Ring Pushup</v>
      </c>
      <c r="B390" s="11" t="s">
        <v>89</v>
      </c>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45" customHeight="1">
      <c r="A391" s="10" t="str">
        <f>HYPERLINK("https://vimeo.com/112091252","X-Band Box Walk")</f>
        <v>X-Band Box Walk</v>
      </c>
      <c r="B391" s="11" t="s">
        <v>42</v>
      </c>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45" customHeight="1">
      <c r="A392" s="10" t="str">
        <f>HYPERLINK("https://vimeo.com/112089801","X-Band Walk")</f>
        <v>X-Band Walk</v>
      </c>
      <c r="B392" s="11" t="s">
        <v>42</v>
      </c>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45" customHeight="1">
      <c r="A393" s="10" t="str">
        <f>HYPERLINK("https://vimeo.com/112091254","X-Lat Band Pull-Down")</f>
        <v>X-Lat Band Pull-Down</v>
      </c>
      <c r="B393" s="4" t="s">
        <v>124</v>
      </c>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45" customHeight="1">
      <c r="A394" s="10" t="str">
        <f>HYPERLINK("https://vimeo.com/112091255","Yoga Downward Dog Stretch")</f>
        <v>Yoga Downward Dog Stretch</v>
      </c>
      <c r="B394" s="11" t="s">
        <v>29</v>
      </c>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45" customHeight="1">
      <c r="A395" s="10" t="str">
        <f>HYPERLINK("https://vimeo.com/112091256","Yoga Plex")</f>
        <v>Yoga Plex</v>
      </c>
      <c r="B395" s="11" t="s">
        <v>251</v>
      </c>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45" customHeight="1">
      <c r="A396" s="10" t="str">
        <f>HYPERLINK("https://vimeo.com/112091257","Yoga Pushup")</f>
        <v>Yoga Pushup</v>
      </c>
      <c r="B396" s="11" t="s">
        <v>252</v>
      </c>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 r="A397" s="12"/>
      <c r="B397" s="13"/>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 r="A398" s="12"/>
      <c r="B398" s="13"/>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 r="A399" s="12"/>
      <c r="B399" s="13"/>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 r="A400" s="12"/>
      <c r="B400" s="13"/>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 r="A401" s="12"/>
      <c r="B401" s="13"/>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 r="A402" s="12"/>
      <c r="B402" s="13"/>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 r="A403" s="12"/>
      <c r="B403" s="13"/>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 r="A404" s="12"/>
      <c r="B404" s="13"/>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 r="A405" s="12"/>
      <c r="B405" s="13"/>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 r="A406" s="12"/>
      <c r="B406" s="13"/>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 r="A407" s="12"/>
      <c r="B407" s="13"/>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 r="A408" s="12"/>
      <c r="B408" s="13"/>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 r="A409" s="12"/>
      <c r="B409" s="13"/>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 r="A410" s="12"/>
      <c r="B410" s="13"/>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 r="A411" s="12"/>
      <c r="B411" s="13"/>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 r="A412" s="12"/>
      <c r="B412" s="13"/>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 r="A413" s="12"/>
      <c r="B413" s="13"/>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 r="A414" s="12"/>
      <c r="B414" s="13"/>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 r="A415" s="12"/>
      <c r="B415" s="13"/>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 r="A416" s="12"/>
      <c r="B416" s="13"/>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 r="A417" s="12"/>
      <c r="B417" s="13"/>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 r="A418" s="12"/>
      <c r="B418" s="13"/>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 r="A419" s="12"/>
      <c r="B419" s="13"/>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 r="A420" s="12"/>
      <c r="B420" s="13"/>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 r="A421" s="12"/>
      <c r="B421" s="13"/>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 r="A422" s="12"/>
      <c r="B422" s="13"/>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 r="A423" s="12"/>
      <c r="B423" s="13"/>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 r="A424" s="12"/>
      <c r="B424" s="13"/>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 r="A425" s="12"/>
      <c r="B425" s="13"/>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 r="A426" s="12"/>
      <c r="B426" s="13"/>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 r="A427" s="12"/>
      <c r="B427" s="13"/>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 r="A428" s="12"/>
      <c r="B428" s="13"/>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 r="A429" s="12"/>
      <c r="B429" s="13"/>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 r="A430" s="12"/>
      <c r="B430" s="13"/>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 r="A431" s="12"/>
      <c r="B431" s="13"/>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 r="A432" s="12"/>
      <c r="B432" s="13"/>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 r="A433" s="12"/>
      <c r="B433" s="13"/>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 r="A434" s="12"/>
      <c r="B434" s="13"/>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 r="A435" s="12"/>
      <c r="B435" s="13"/>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 r="A436" s="12"/>
      <c r="B436" s="13"/>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 r="A437" s="12"/>
      <c r="B437" s="13"/>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 r="A438" s="12"/>
      <c r="B438" s="13"/>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 r="A439" s="12"/>
      <c r="B439" s="13"/>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 r="A440" s="12"/>
      <c r="B440" s="13"/>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 r="A441" s="12"/>
      <c r="B441" s="13"/>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 r="A442" s="12"/>
      <c r="B442" s="13"/>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 r="A443" s="12"/>
      <c r="B443" s="13"/>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 r="A444" s="12"/>
      <c r="B444" s="13"/>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 r="A445" s="12"/>
      <c r="B445" s="13"/>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 r="A446" s="12"/>
      <c r="B446" s="13"/>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 r="A447" s="12"/>
      <c r="B447" s="13"/>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 r="A448" s="12"/>
      <c r="B448" s="13"/>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 r="A449" s="12"/>
      <c r="B449" s="13"/>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 r="A450" s="12"/>
      <c r="B450" s="13"/>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 r="A451" s="12"/>
      <c r="B451" s="13"/>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 r="A452" s="12"/>
      <c r="B452" s="13"/>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 r="A453" s="12"/>
      <c r="B453" s="13"/>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 r="A454" s="12"/>
      <c r="B454" s="13"/>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 r="A455" s="12"/>
      <c r="B455" s="13"/>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 r="A456" s="12"/>
      <c r="B456" s="13"/>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 r="A457" s="12"/>
      <c r="B457" s="13"/>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 r="A458" s="12"/>
      <c r="B458" s="13"/>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 r="A459" s="12"/>
      <c r="B459" s="13"/>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 r="A460" s="12"/>
      <c r="B460" s="13"/>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 r="A461" s="12"/>
      <c r="B461" s="13"/>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 r="A462" s="12"/>
      <c r="B462" s="13"/>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 r="A463" s="12"/>
      <c r="B463" s="13"/>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 r="A464" s="12"/>
      <c r="B464" s="13"/>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 r="A465" s="12"/>
      <c r="B465" s="13"/>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 r="A466" s="12"/>
      <c r="B466" s="13"/>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 r="A467" s="12"/>
      <c r="B467" s="13"/>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 r="A468" s="12"/>
      <c r="B468" s="13"/>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 r="A469" s="12"/>
      <c r="B469" s="13"/>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 r="A470" s="12"/>
      <c r="B470" s="13"/>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 r="A471" s="12"/>
      <c r="B471" s="13"/>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 r="A472" s="12"/>
      <c r="B472" s="13"/>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 r="A473" s="12"/>
      <c r="B473" s="13"/>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 r="A474" s="12"/>
      <c r="B474" s="13"/>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 r="A475" s="12"/>
      <c r="B475" s="13"/>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 r="A476" s="12"/>
      <c r="B476" s="13"/>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 r="A477" s="12"/>
      <c r="B477" s="13"/>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 r="A478" s="12"/>
      <c r="B478" s="13"/>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 r="A479" s="12"/>
      <c r="B479" s="13"/>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 r="A480" s="12"/>
      <c r="B480" s="13"/>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 r="A481" s="12"/>
      <c r="B481" s="13"/>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 r="A482" s="12"/>
      <c r="B482" s="13"/>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 r="A483" s="12"/>
      <c r="B483" s="13"/>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 r="A484" s="12"/>
      <c r="B484" s="13"/>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 r="A485" s="12"/>
      <c r="B485" s="13"/>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 r="A486" s="12"/>
      <c r="B486" s="13"/>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 r="A487" s="12"/>
      <c r="B487" s="13"/>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 r="A488" s="12"/>
      <c r="B488" s="13"/>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 r="A489" s="12"/>
      <c r="B489" s="13"/>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 r="A490" s="12"/>
      <c r="B490" s="13"/>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 r="A491" s="12"/>
      <c r="B491" s="13"/>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 r="A492" s="12"/>
      <c r="B492" s="13"/>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 r="A493" s="12"/>
      <c r="B493" s="13"/>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 r="A494" s="12"/>
      <c r="B494" s="13"/>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 r="A495" s="12"/>
      <c r="B495" s="13"/>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 r="A496" s="12"/>
      <c r="B496" s="13"/>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 r="A497" s="12"/>
      <c r="B497" s="13"/>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 r="A498" s="12"/>
      <c r="B498" s="13"/>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 r="A499" s="12"/>
      <c r="B499" s="13"/>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 r="A500" s="12"/>
      <c r="B500" s="13"/>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 r="A501" s="12"/>
      <c r="B501" s="13"/>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 r="A502" s="12"/>
      <c r="B502" s="13"/>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 r="A503" s="12"/>
      <c r="B503" s="13"/>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 r="A504" s="12"/>
      <c r="B504" s="13"/>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 r="A505" s="12"/>
      <c r="B505" s="13"/>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 r="A506" s="12"/>
      <c r="B506" s="13"/>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 r="A507" s="12"/>
      <c r="B507" s="13"/>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 r="A508" s="12"/>
      <c r="B508" s="13"/>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 r="A509" s="12"/>
      <c r="B509" s="13"/>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 r="A510" s="12"/>
      <c r="B510" s="13"/>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 r="A511" s="12"/>
      <c r="B511" s="13"/>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 r="A512" s="12"/>
      <c r="B512" s="13"/>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 r="A513" s="12"/>
      <c r="B513" s="13"/>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 r="A514" s="12"/>
      <c r="B514" s="13"/>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 r="A515" s="12"/>
      <c r="B515" s="13"/>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 r="A516" s="12"/>
      <c r="B516" s="13"/>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 r="A517" s="12"/>
      <c r="B517" s="13"/>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 r="A518" s="12"/>
      <c r="B518" s="13"/>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 r="A519" s="12"/>
      <c r="B519" s="13"/>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 r="A520" s="12"/>
      <c r="B520" s="13"/>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 r="A521" s="12"/>
      <c r="B521" s="13"/>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 r="A522" s="12"/>
      <c r="B522" s="13"/>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 r="A523" s="12"/>
      <c r="B523" s="13"/>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 r="A524" s="12"/>
      <c r="B524" s="13"/>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 r="A525" s="12"/>
      <c r="B525" s="13"/>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 r="A526" s="12"/>
      <c r="B526" s="13"/>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 r="A527" s="12"/>
      <c r="B527" s="13"/>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 r="A528" s="12"/>
      <c r="B528" s="13"/>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 r="A529" s="12"/>
      <c r="B529" s="13"/>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 r="A530" s="12"/>
      <c r="B530" s="13"/>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 r="A531" s="12"/>
      <c r="B531" s="13"/>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 r="A532" s="12"/>
      <c r="B532" s="13"/>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 r="A533" s="12"/>
      <c r="B533" s="13"/>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 r="A534" s="12"/>
      <c r="B534" s="13"/>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 r="A535" s="12"/>
      <c r="B535" s="13"/>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 r="A536" s="12"/>
      <c r="B536" s="13"/>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 r="A537" s="12"/>
      <c r="B537" s="13"/>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 r="A538" s="12"/>
      <c r="B538" s="13"/>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 r="A539" s="12"/>
      <c r="B539" s="13"/>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 r="A540" s="12"/>
      <c r="B540" s="13"/>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 r="A541" s="12"/>
      <c r="B541" s="13"/>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 r="A542" s="12"/>
      <c r="B542" s="13"/>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 r="A543" s="12"/>
      <c r="B543" s="13"/>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 r="A544" s="12"/>
      <c r="B544" s="13"/>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 r="A545" s="12"/>
      <c r="B545" s="13"/>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 r="A546" s="12"/>
      <c r="B546" s="13"/>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 r="A547" s="12"/>
      <c r="B547" s="13"/>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 r="A548" s="12"/>
      <c r="B548" s="13"/>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 r="A549" s="12"/>
      <c r="B549" s="13"/>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 r="A550" s="12"/>
      <c r="B550" s="13"/>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 r="A551" s="12"/>
      <c r="B551" s="13"/>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 r="A552" s="12"/>
      <c r="B552" s="13"/>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 r="A553" s="12"/>
      <c r="B553" s="13"/>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 r="A554" s="12"/>
      <c r="B554" s="13"/>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 r="A555" s="12"/>
      <c r="B555" s="13"/>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 r="A556" s="12"/>
      <c r="B556" s="13"/>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 r="A557" s="12"/>
      <c r="B557" s="13"/>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 r="A558" s="12"/>
      <c r="B558" s="13"/>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 r="A559" s="12"/>
      <c r="B559" s="13"/>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 r="A560" s="12"/>
      <c r="B560" s="13"/>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 r="A561" s="12"/>
      <c r="B561" s="13"/>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 r="A562" s="12"/>
      <c r="B562" s="13"/>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 r="A563" s="12"/>
      <c r="B563" s="13"/>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 r="A564" s="12"/>
      <c r="B564" s="13"/>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 r="A565" s="12"/>
      <c r="B565" s="13"/>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 r="A566" s="12"/>
      <c r="B566" s="13"/>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 r="A567" s="12"/>
      <c r="B567" s="13"/>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 r="A568" s="12"/>
      <c r="B568" s="13"/>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 r="A569" s="12"/>
      <c r="B569" s="13"/>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 r="A570" s="12"/>
      <c r="B570" s="13"/>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 r="A571" s="12"/>
      <c r="B571" s="13"/>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 r="A572" s="12"/>
      <c r="B572" s="13"/>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 r="A573" s="12"/>
      <c r="B573" s="13"/>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 r="A574" s="12"/>
      <c r="B574" s="13"/>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 r="A575" s="12"/>
      <c r="B575" s="13"/>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 r="A576" s="12"/>
      <c r="B576" s="13"/>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 r="A577" s="12"/>
      <c r="B577" s="13"/>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 r="A578" s="12"/>
      <c r="B578" s="13"/>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 r="A579" s="12"/>
      <c r="B579" s="13"/>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 r="A580" s="12"/>
      <c r="B580" s="13"/>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 r="A581" s="12"/>
      <c r="B581" s="13"/>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 r="A582" s="12"/>
      <c r="B582" s="13"/>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 r="A583" s="12"/>
      <c r="B583" s="13"/>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 r="A584" s="12"/>
      <c r="B584" s="13"/>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 r="A585" s="12"/>
      <c r="B585" s="13"/>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 r="A586" s="12"/>
      <c r="B586" s="13"/>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 r="A587" s="12"/>
      <c r="B587" s="13"/>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 r="A588" s="12"/>
      <c r="B588" s="13"/>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 r="A589" s="12"/>
      <c r="B589" s="13"/>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 r="A590" s="12"/>
      <c r="B590" s="13"/>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 r="A591" s="12"/>
      <c r="B591" s="13"/>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 r="A592" s="12"/>
      <c r="B592" s="13"/>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 r="A593" s="12"/>
      <c r="B593" s="13"/>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 r="A594" s="12"/>
      <c r="B594" s="13"/>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 r="A595" s="12"/>
      <c r="B595" s="13"/>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 r="A596" s="12"/>
      <c r="B596" s="13"/>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 r="A597" s="12"/>
      <c r="B597" s="13"/>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 r="A598" s="12"/>
      <c r="B598" s="13"/>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 r="A599" s="12"/>
      <c r="B599" s="13"/>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 r="A600" s="12"/>
      <c r="B600" s="13"/>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 r="A601" s="12"/>
      <c r="B601" s="13"/>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 r="A602" s="12"/>
      <c r="B602" s="13"/>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 r="A603" s="12"/>
      <c r="B603" s="13"/>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 r="A604" s="12"/>
      <c r="B604" s="13"/>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 r="A605" s="12"/>
      <c r="B605" s="13"/>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 r="A606" s="12"/>
      <c r="B606" s="13"/>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 r="A607" s="12"/>
      <c r="B607" s="13"/>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 r="A608" s="12"/>
      <c r="B608" s="13"/>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 r="A609" s="12"/>
      <c r="B609" s="13"/>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 r="A610" s="12"/>
      <c r="B610" s="13"/>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 r="A611" s="12"/>
      <c r="B611" s="13"/>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 r="A612" s="12"/>
      <c r="B612" s="13"/>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 r="A613" s="12"/>
      <c r="B613" s="13"/>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 r="A614" s="12"/>
      <c r="B614" s="13"/>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 r="A615" s="12"/>
      <c r="B615" s="13"/>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 r="A616" s="12"/>
      <c r="B616" s="13"/>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 r="A617" s="12"/>
      <c r="B617" s="13"/>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 r="A618" s="12"/>
      <c r="B618" s="13"/>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 r="A619" s="12"/>
      <c r="B619" s="13"/>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 r="A620" s="12"/>
      <c r="B620" s="13"/>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 r="A621" s="12"/>
      <c r="B621" s="13"/>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 r="A622" s="12"/>
      <c r="B622" s="13"/>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 r="A623" s="12"/>
      <c r="B623" s="13"/>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 r="A624" s="12"/>
      <c r="B624" s="13"/>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 r="A625" s="12"/>
      <c r="B625" s="13"/>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 r="A626" s="12"/>
      <c r="B626" s="13"/>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 r="A627" s="12"/>
      <c r="B627" s="13"/>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 r="A628" s="12"/>
      <c r="B628" s="13"/>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 r="A629" s="12"/>
      <c r="B629" s="13"/>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 r="A630" s="12"/>
      <c r="B630" s="13"/>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 r="A631" s="12"/>
      <c r="B631" s="13"/>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 r="A632" s="12"/>
      <c r="B632" s="13"/>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 r="A633" s="12"/>
      <c r="B633" s="13"/>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 r="A634" s="12"/>
      <c r="B634" s="13"/>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 r="A635" s="12"/>
      <c r="B635" s="13"/>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 r="A636" s="12"/>
      <c r="B636" s="13"/>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 r="A637" s="12"/>
      <c r="B637" s="13"/>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 r="A638" s="12"/>
      <c r="B638" s="13"/>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 r="A639" s="12"/>
      <c r="B639" s="13"/>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 r="A640" s="12"/>
      <c r="B640" s="13"/>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 r="A641" s="12"/>
      <c r="B641" s="13"/>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 r="A642" s="12"/>
      <c r="B642" s="13"/>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 r="A643" s="12"/>
      <c r="B643" s="13"/>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 r="A644" s="12"/>
      <c r="B644" s="13"/>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 r="A645" s="12"/>
      <c r="B645" s="13"/>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 r="A646" s="12"/>
      <c r="B646" s="13"/>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 r="A647" s="12"/>
      <c r="B647" s="13"/>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 r="A648" s="12"/>
      <c r="B648" s="13"/>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 r="A649" s="12"/>
      <c r="B649" s="13"/>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 r="A650" s="12"/>
      <c r="B650" s="13"/>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 r="A651" s="12"/>
      <c r="B651" s="13"/>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 r="A652" s="12"/>
      <c r="B652" s="13"/>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 r="A653" s="12"/>
      <c r="B653" s="13"/>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 r="A654" s="12"/>
      <c r="B654" s="13"/>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 r="A655" s="12"/>
      <c r="B655" s="13"/>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 r="A656" s="12"/>
      <c r="B656" s="13"/>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 r="A657" s="12"/>
      <c r="B657" s="13"/>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 r="A658" s="12"/>
      <c r="B658" s="13"/>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 r="A659" s="12"/>
      <c r="B659" s="13"/>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 r="A660" s="12"/>
      <c r="B660" s="13"/>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 r="A661" s="12"/>
      <c r="B661" s="13"/>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 r="A662" s="12"/>
      <c r="B662" s="13"/>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 r="A663" s="12"/>
      <c r="B663" s="13"/>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 r="A664" s="12"/>
      <c r="B664" s="13"/>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 r="A665" s="12"/>
      <c r="B665" s="13"/>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 r="A666" s="12"/>
      <c r="B666" s="13"/>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 r="A667" s="12"/>
      <c r="B667" s="13"/>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 r="A668" s="12"/>
      <c r="B668" s="13"/>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 r="A669" s="12"/>
      <c r="B669" s="13"/>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 r="A670" s="12"/>
      <c r="B670" s="13"/>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 r="A671" s="12"/>
      <c r="B671" s="13"/>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 r="A672" s="12"/>
      <c r="B672" s="13"/>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 r="A673" s="12"/>
      <c r="B673" s="13"/>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 r="A674" s="12"/>
      <c r="B674" s="13"/>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 r="A675" s="12"/>
      <c r="B675" s="13"/>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 r="A676" s="12"/>
      <c r="B676" s="13"/>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 r="A677" s="12"/>
      <c r="B677" s="13"/>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 r="A678" s="12"/>
      <c r="B678" s="13"/>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 r="A679" s="12"/>
      <c r="B679" s="13"/>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 r="A680" s="12"/>
      <c r="B680" s="13"/>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 r="A681" s="12"/>
      <c r="B681" s="13"/>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 r="A682" s="12"/>
      <c r="B682" s="13"/>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 r="A683" s="12"/>
      <c r="B683" s="13"/>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 r="A684" s="12"/>
      <c r="B684" s="13"/>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 r="A685" s="12"/>
      <c r="B685" s="13"/>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 r="A686" s="12"/>
      <c r="B686" s="13"/>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 r="A687" s="12"/>
      <c r="B687" s="13"/>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 r="A688" s="12"/>
      <c r="B688" s="13"/>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 r="A689" s="12"/>
      <c r="B689" s="13"/>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 r="A690" s="12"/>
      <c r="B690" s="13"/>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 r="A691" s="12"/>
      <c r="B691" s="13"/>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 r="A692" s="12"/>
      <c r="B692" s="13"/>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 r="A693" s="12"/>
      <c r="B693" s="13"/>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 r="A694" s="12"/>
      <c r="B694" s="13"/>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 r="A695" s="12"/>
      <c r="B695" s="13"/>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 r="A696" s="12"/>
      <c r="B696" s="13"/>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 r="A697" s="12"/>
      <c r="B697" s="13"/>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 r="A698" s="12"/>
      <c r="B698" s="13"/>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 r="A699" s="12"/>
      <c r="B699" s="13"/>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 r="A700" s="12"/>
      <c r="B700" s="13"/>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 r="A701" s="12"/>
      <c r="B701" s="13"/>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 r="A702" s="12"/>
      <c r="B702" s="13"/>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 r="A703" s="12"/>
      <c r="B703" s="13"/>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 r="A704" s="12"/>
      <c r="B704" s="13"/>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 r="A705" s="12"/>
      <c r="B705" s="13"/>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 r="A706" s="12"/>
      <c r="B706" s="13"/>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 r="A707" s="12"/>
      <c r="B707" s="13"/>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 r="A708" s="12"/>
      <c r="B708" s="13"/>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 r="A709" s="12"/>
      <c r="B709" s="13"/>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 r="A710" s="12"/>
      <c r="B710" s="13"/>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 r="A711" s="12"/>
      <c r="B711" s="13"/>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 r="A712" s="12"/>
      <c r="B712" s="13"/>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 r="A713" s="12"/>
      <c r="B713" s="13"/>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 r="A714" s="12"/>
      <c r="B714" s="13"/>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 r="A715" s="12"/>
      <c r="B715" s="13"/>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 r="A716" s="12"/>
      <c r="B716" s="13"/>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 r="A717" s="12"/>
      <c r="B717" s="13"/>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 r="A718" s="12"/>
      <c r="B718" s="13"/>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 r="A719" s="12"/>
      <c r="B719" s="13"/>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 r="A720" s="12"/>
      <c r="B720" s="13"/>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 r="A721" s="12"/>
      <c r="B721" s="13"/>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 r="A722" s="12"/>
      <c r="B722" s="13"/>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 r="A723" s="12"/>
      <c r="B723" s="13"/>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 r="A724" s="12"/>
      <c r="B724" s="13"/>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 r="A725" s="12"/>
      <c r="B725" s="13"/>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 r="A726" s="12"/>
      <c r="B726" s="13"/>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 r="A727" s="12"/>
      <c r="B727" s="13"/>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 r="A728" s="12"/>
      <c r="B728" s="13"/>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 r="A729" s="12"/>
      <c r="B729" s="13"/>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 r="A730" s="12"/>
      <c r="B730" s="13"/>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 r="A731" s="12"/>
      <c r="B731" s="13"/>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 r="A732" s="12"/>
      <c r="B732" s="13"/>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 r="A733" s="12"/>
      <c r="B733" s="13"/>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 r="A734" s="12"/>
      <c r="B734" s="13"/>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 r="A735" s="12"/>
      <c r="B735" s="13"/>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 r="A736" s="12"/>
      <c r="B736" s="13"/>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 r="A737" s="12"/>
      <c r="B737" s="13"/>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 r="A738" s="12"/>
      <c r="B738" s="13"/>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 r="A739" s="12"/>
      <c r="B739" s="13"/>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 r="A740" s="12"/>
      <c r="B740" s="13"/>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 r="A741" s="12"/>
      <c r="B741" s="13"/>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 r="A742" s="12"/>
      <c r="B742" s="13"/>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 r="A743" s="12"/>
      <c r="B743" s="13"/>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 r="A744" s="12"/>
      <c r="B744" s="13"/>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 r="A745" s="12"/>
      <c r="B745" s="13"/>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 r="A746" s="12"/>
      <c r="B746" s="13"/>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 r="A747" s="12"/>
      <c r="B747" s="13"/>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 r="A748" s="12"/>
      <c r="B748" s="13"/>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 r="A749" s="12"/>
      <c r="B749" s="13"/>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 r="A750" s="12"/>
      <c r="B750" s="13"/>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 r="A751" s="12"/>
      <c r="B751" s="13"/>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 r="A752" s="12"/>
      <c r="B752" s="13"/>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 r="A753" s="12"/>
      <c r="B753" s="13"/>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 r="A754" s="12"/>
      <c r="B754" s="13"/>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 r="A755" s="12"/>
      <c r="B755" s="13"/>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 r="A756" s="12"/>
      <c r="B756" s="13"/>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 r="A757" s="12"/>
      <c r="B757" s="13"/>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 r="A758" s="12"/>
      <c r="B758" s="13"/>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 r="A759" s="12"/>
      <c r="B759" s="13"/>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 r="A760" s="12"/>
      <c r="B760" s="13"/>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 r="A761" s="12"/>
      <c r="B761" s="13"/>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 r="A762" s="12"/>
      <c r="B762" s="13"/>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 r="A763" s="12"/>
      <c r="B763" s="13"/>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 r="A764" s="12"/>
      <c r="B764" s="13"/>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 r="A765" s="12"/>
      <c r="B765" s="13"/>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 r="A766" s="12"/>
      <c r="B766" s="13"/>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 r="A767" s="12"/>
      <c r="B767" s="13"/>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 r="A768" s="12"/>
      <c r="B768" s="13"/>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 r="A769" s="12"/>
      <c r="B769" s="13"/>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 r="A770" s="12"/>
      <c r="B770" s="13"/>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 r="A771" s="12"/>
      <c r="B771" s="13"/>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 r="A772" s="12"/>
      <c r="B772" s="13"/>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 r="A773" s="12"/>
      <c r="B773" s="13"/>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 r="A774" s="12"/>
      <c r="B774" s="13"/>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 r="A775" s="12"/>
      <c r="B775" s="13"/>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 r="A776" s="12"/>
      <c r="B776" s="13"/>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 r="A777" s="12"/>
      <c r="B777" s="13"/>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 r="A778" s="12"/>
      <c r="B778" s="13"/>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 r="A779" s="12"/>
      <c r="B779" s="13"/>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 r="A780" s="12"/>
      <c r="B780" s="13"/>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 r="A781" s="12"/>
      <c r="B781" s="13"/>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 r="A782" s="12"/>
      <c r="B782" s="13"/>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 r="A783" s="12"/>
      <c r="B783" s="13"/>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 r="A784" s="12"/>
      <c r="B784" s="13"/>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 r="A785" s="12"/>
      <c r="B785" s="13"/>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 r="A786" s="12"/>
      <c r="B786" s="13"/>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 r="A787" s="12"/>
      <c r="B787" s="13"/>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 r="A788" s="12"/>
      <c r="B788" s="13"/>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 r="A789" s="12"/>
      <c r="B789" s="13"/>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 r="A790" s="12"/>
      <c r="B790" s="13"/>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 r="A791" s="12"/>
      <c r="B791" s="13"/>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 r="A792" s="12"/>
      <c r="B792" s="13"/>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 r="A793" s="12"/>
      <c r="B793" s="13"/>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 r="A794" s="12"/>
      <c r="B794" s="13"/>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 r="A795" s="12"/>
      <c r="B795" s="13"/>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 r="A796" s="12"/>
      <c r="B796" s="13"/>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 r="A797" s="12"/>
      <c r="B797" s="13"/>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 r="A798" s="12"/>
      <c r="B798" s="13"/>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 r="A799" s="12"/>
      <c r="B799" s="13"/>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 r="A800" s="12"/>
      <c r="B800" s="13"/>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 r="A801" s="12"/>
      <c r="B801" s="13"/>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 r="A802" s="12"/>
      <c r="B802" s="13"/>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 r="A803" s="12"/>
      <c r="B803" s="13"/>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 r="A804" s="12"/>
      <c r="B804" s="13"/>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 r="A805" s="12"/>
      <c r="B805" s="13"/>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 r="A806" s="12"/>
      <c r="B806" s="13"/>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 r="A807" s="12"/>
      <c r="B807" s="13"/>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 r="A808" s="12"/>
      <c r="B808" s="13"/>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 r="A809" s="12"/>
      <c r="B809" s="13"/>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 r="A810" s="12"/>
      <c r="B810" s="13"/>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 r="A811" s="12"/>
      <c r="B811" s="13"/>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 r="A812" s="12"/>
      <c r="B812" s="13"/>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 r="A813" s="12"/>
      <c r="B813" s="13"/>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 r="A814" s="12"/>
      <c r="B814" s="13"/>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 r="A815" s="12"/>
      <c r="B815" s="13"/>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 r="A816" s="12"/>
      <c r="B816" s="13"/>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 r="A817" s="12"/>
      <c r="B817" s="13"/>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 r="A818" s="12"/>
      <c r="B818" s="13"/>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 r="A819" s="12"/>
      <c r="B819" s="13"/>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 r="A820" s="12"/>
      <c r="B820" s="13"/>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 r="A821" s="12"/>
      <c r="B821" s="13"/>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 r="A822" s="12"/>
      <c r="B822" s="13"/>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 r="A823" s="12"/>
      <c r="B823" s="13"/>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 r="A824" s="12"/>
      <c r="B824" s="13"/>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 r="A825" s="12"/>
      <c r="B825" s="13"/>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 r="A826" s="12"/>
      <c r="B826" s="13"/>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 r="A827" s="12"/>
      <c r="B827" s="13"/>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 r="A828" s="12"/>
      <c r="B828" s="13"/>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 r="A829" s="12"/>
      <c r="B829" s="13"/>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 r="A830" s="12"/>
      <c r="B830" s="13"/>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 r="A831" s="12"/>
      <c r="B831" s="13"/>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 r="A832" s="12"/>
      <c r="B832" s="13"/>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 r="A833" s="12"/>
      <c r="B833" s="13"/>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 r="A834" s="12"/>
      <c r="B834" s="13"/>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 r="A835" s="12"/>
      <c r="B835" s="13"/>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 r="A836" s="12"/>
      <c r="B836" s="13"/>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 r="A837" s="12"/>
      <c r="B837" s="13"/>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 r="A838" s="12"/>
      <c r="B838" s="13"/>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 r="A839" s="12"/>
      <c r="B839" s="13"/>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 r="A840" s="12"/>
      <c r="B840" s="13"/>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 r="A841" s="12"/>
      <c r="B841" s="13"/>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 r="A842" s="12"/>
      <c r="B842" s="13"/>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 r="A843" s="12"/>
      <c r="B843" s="13"/>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 r="A844" s="12"/>
      <c r="B844" s="13"/>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 r="A845" s="12"/>
      <c r="B845" s="13"/>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 r="A846" s="12"/>
      <c r="B846" s="13"/>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 r="A847" s="12"/>
      <c r="B847" s="13"/>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 r="A848" s="12"/>
      <c r="B848" s="13"/>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 r="A849" s="12"/>
      <c r="B849" s="13"/>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 r="A850" s="12"/>
      <c r="B850" s="13"/>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 r="A851" s="12"/>
      <c r="B851" s="13"/>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 r="A852" s="12"/>
      <c r="B852" s="13"/>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 r="A853" s="12"/>
      <c r="B853" s="13"/>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 r="A854" s="12"/>
      <c r="B854" s="13"/>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 r="A855" s="12"/>
      <c r="B855" s="13"/>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 r="A856" s="12"/>
      <c r="B856" s="13"/>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 r="A857" s="12"/>
      <c r="B857" s="13"/>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 r="A858" s="12"/>
      <c r="B858" s="13"/>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 r="A859" s="12"/>
      <c r="B859" s="13"/>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 r="A860" s="12"/>
      <c r="B860" s="13"/>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 r="A861" s="12"/>
      <c r="B861" s="13"/>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 r="A862" s="12"/>
      <c r="B862" s="13"/>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 r="A863" s="12"/>
      <c r="B863" s="13"/>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 r="A864" s="12"/>
      <c r="B864" s="13"/>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 r="A865" s="12"/>
      <c r="B865" s="13"/>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 r="A866" s="12"/>
      <c r="B866" s="13"/>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 r="A867" s="12"/>
      <c r="B867" s="13"/>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 r="A868" s="12"/>
      <c r="B868" s="13"/>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 r="A869" s="12"/>
      <c r="B869" s="13"/>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 r="A870" s="12"/>
      <c r="B870" s="13"/>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 r="A871" s="12"/>
      <c r="B871" s="13"/>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 r="A872" s="12"/>
      <c r="B872" s="13"/>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 r="A873" s="12"/>
      <c r="B873" s="13"/>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 r="A874" s="12"/>
      <c r="B874" s="13"/>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 r="A875" s="12"/>
      <c r="B875" s="13"/>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 r="A876" s="12"/>
      <c r="B876" s="13"/>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 r="A877" s="12"/>
      <c r="B877" s="13"/>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 r="A878" s="12"/>
      <c r="B878" s="13"/>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 r="A879" s="12"/>
      <c r="B879" s="13"/>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 r="A880" s="12"/>
      <c r="B880" s="13"/>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 r="A881" s="12"/>
      <c r="B881" s="13"/>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 r="A882" s="12"/>
      <c r="B882" s="13"/>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 r="A883" s="12"/>
      <c r="B883" s="13"/>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 r="A884" s="12"/>
      <c r="B884" s="13"/>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 r="A885" s="12"/>
      <c r="B885" s="13"/>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 r="A886" s="12"/>
      <c r="B886" s="13"/>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 r="A887" s="12"/>
      <c r="B887" s="13"/>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 r="A888" s="12"/>
      <c r="B888" s="13"/>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 r="A889" s="12"/>
      <c r="B889" s="13"/>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 r="A890" s="12"/>
      <c r="B890" s="13"/>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 r="A891" s="12"/>
      <c r="B891" s="13"/>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 r="A892" s="12"/>
      <c r="B892" s="13"/>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 r="A893" s="12"/>
      <c r="B893" s="13"/>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 r="A894" s="12"/>
      <c r="B894" s="13"/>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 r="A895" s="12"/>
      <c r="B895" s="13"/>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 r="A896" s="12"/>
      <c r="B896" s="13"/>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 r="A897" s="12"/>
      <c r="B897" s="13"/>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 r="A898" s="12"/>
      <c r="B898" s="13"/>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 r="A899" s="12"/>
      <c r="B899" s="13"/>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 r="A900" s="12"/>
      <c r="B900" s="13"/>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 r="A901" s="12"/>
      <c r="B901" s="13"/>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 r="A902" s="12"/>
      <c r="B902" s="13"/>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 r="A903" s="12"/>
      <c r="B903" s="13"/>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 r="A904" s="12"/>
      <c r="B904" s="13"/>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 r="A905" s="12"/>
      <c r="B905" s="13"/>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 r="A906" s="12"/>
      <c r="B906" s="13"/>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 r="A907" s="12"/>
      <c r="B907" s="13"/>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 r="A908" s="12"/>
      <c r="B908" s="13"/>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 r="A909" s="12"/>
      <c r="B909" s="13"/>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 r="A910" s="12"/>
      <c r="B910" s="13"/>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 r="A911" s="12"/>
      <c r="B911" s="13"/>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 r="A912" s="12"/>
      <c r="B912" s="13"/>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 r="A913" s="12"/>
      <c r="B913" s="13"/>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 r="A914" s="12"/>
      <c r="B914" s="13"/>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 r="A915" s="12"/>
      <c r="B915" s="13"/>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 r="A916" s="12"/>
      <c r="B916" s="13"/>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 r="A917" s="12"/>
      <c r="B917" s="13"/>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 r="A918" s="12"/>
      <c r="B918" s="13"/>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 r="A919" s="12"/>
      <c r="B919" s="13"/>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 r="A920" s="12"/>
      <c r="B920" s="13"/>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 r="A921" s="12"/>
      <c r="B921" s="13"/>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 r="A922" s="12"/>
      <c r="B922" s="13"/>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 r="A923" s="12"/>
      <c r="B923" s="13"/>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 r="A924" s="12"/>
      <c r="B924" s="13"/>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 r="A925" s="12"/>
      <c r="B925" s="13"/>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 r="A926" s="12"/>
      <c r="B926" s="13"/>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 r="A927" s="12"/>
      <c r="B927" s="13"/>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 r="A928" s="12"/>
      <c r="B928" s="13"/>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 r="A929" s="12"/>
      <c r="B929" s="13"/>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 r="A930" s="12"/>
      <c r="B930" s="13"/>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 r="A931" s="12"/>
      <c r="B931" s="13"/>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 r="A932" s="12"/>
      <c r="B932" s="13"/>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 r="A933" s="12"/>
      <c r="B933" s="13"/>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 r="A934" s="12"/>
      <c r="B934" s="13"/>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 r="A935" s="12"/>
      <c r="B935" s="13"/>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 r="A936" s="12"/>
      <c r="B936" s="13"/>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 r="A937" s="12"/>
      <c r="B937" s="13"/>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 r="A938" s="12"/>
      <c r="B938" s="13"/>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 r="A939" s="12"/>
      <c r="B939" s="13"/>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 r="A940" s="12"/>
      <c r="B940" s="13"/>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 r="A941" s="12"/>
      <c r="B941" s="13"/>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 r="A942" s="12"/>
      <c r="B942" s="13"/>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 r="A943" s="12"/>
      <c r="B943" s="13"/>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 r="A944" s="12"/>
      <c r="B944" s="13"/>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 r="A945" s="12"/>
      <c r="B945" s="13"/>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 r="A946" s="12"/>
      <c r="B946" s="13"/>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 r="A947" s="12"/>
      <c r="B947" s="13"/>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 r="A948" s="12"/>
      <c r="B948" s="13"/>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 r="A949" s="12"/>
      <c r="B949" s="13"/>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 r="A950" s="12"/>
      <c r="B950" s="13"/>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 r="A951" s="12"/>
      <c r="B951" s="13"/>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 r="A952" s="12"/>
      <c r="B952" s="13"/>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 r="A953" s="12"/>
      <c r="B953" s="13"/>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 r="A954" s="12"/>
      <c r="B954" s="13"/>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 r="A955" s="12"/>
      <c r="B955" s="13"/>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 r="A956" s="12"/>
      <c r="B956" s="13"/>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 r="A957" s="12"/>
      <c r="B957" s="13"/>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 r="A958" s="12"/>
      <c r="B958" s="13"/>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 r="A959" s="12"/>
      <c r="B959" s="13"/>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 r="A960" s="12"/>
      <c r="B960" s="13"/>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 r="A961" s="12"/>
      <c r="B961" s="13"/>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 r="A962" s="12"/>
      <c r="B962" s="13"/>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 r="A963" s="12"/>
      <c r="B963" s="13"/>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 r="A964" s="12"/>
      <c r="B964" s="13"/>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 r="A965" s="12"/>
      <c r="B965" s="13"/>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 r="A966" s="12"/>
      <c r="B966" s="13"/>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 r="A967" s="12"/>
      <c r="B967" s="13"/>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 r="A968" s="12"/>
      <c r="B968" s="13"/>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 r="A969" s="12"/>
      <c r="B969" s="13"/>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 r="A970" s="12"/>
      <c r="B970" s="13"/>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 r="A971" s="12"/>
      <c r="B971" s="13"/>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 r="A972" s="12"/>
      <c r="B972" s="13"/>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 r="A973" s="12"/>
      <c r="B973" s="13"/>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 r="A974" s="12"/>
      <c r="B974" s="13"/>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 r="A975" s="12"/>
      <c r="B975" s="13"/>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 r="A976" s="12"/>
      <c r="B976" s="13"/>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 r="A977" s="12"/>
      <c r="B977" s="13"/>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 r="A978" s="12"/>
      <c r="B978" s="13"/>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 r="A979" s="12"/>
      <c r="B979" s="13"/>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 r="A980" s="12"/>
      <c r="B980" s="13"/>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 r="A981" s="12"/>
      <c r="B981" s="13"/>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 r="A982" s="12"/>
      <c r="B982" s="13"/>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 r="A983" s="12"/>
      <c r="B983" s="13"/>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 r="A984" s="12"/>
      <c r="B984" s="13"/>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 r="A985" s="12"/>
      <c r="B985" s="13"/>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 r="A986" s="12"/>
      <c r="B986" s="13"/>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 r="A987" s="12"/>
      <c r="B987" s="13"/>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 r="A988" s="12"/>
      <c r="B988" s="13"/>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 r="A989" s="12"/>
      <c r="B989" s="13"/>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 r="A990" s="12"/>
      <c r="B990" s="13"/>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 r="A991" s="12"/>
      <c r="B991" s="13"/>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 r="A992" s="12"/>
      <c r="B992" s="13"/>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 r="A993" s="12"/>
      <c r="B993" s="13"/>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 r="A994" s="12"/>
      <c r="B994" s="13"/>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 r="A995" s="12"/>
      <c r="B995" s="13"/>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 r="A996" s="12"/>
      <c r="B996" s="13"/>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 r="A997" s="12"/>
      <c r="B997" s="13"/>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 r="A998" s="12"/>
      <c r="B998" s="13"/>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 r="A999" s="12"/>
      <c r="B999" s="13"/>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 r="A1000" s="12"/>
      <c r="B1000" s="13"/>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5.75">
      <c r="A1001" s="12"/>
      <c r="B1001" s="13"/>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5.75">
      <c r="A1002" s="12"/>
      <c r="B1002" s="13"/>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spans="1:26" ht="15.75" customHeight="1"/>
    <row r="1004" spans="1:26" ht="15.75" customHeight="1"/>
    <row r="1005" spans="1:26" ht="15.75" customHeight="1"/>
    <row r="1006" spans="1:26" ht="15.75" customHeight="1"/>
    <row r="1007" spans="1:26" ht="15.75" customHeight="1"/>
    <row r="1008" spans="1:26" ht="15.75" customHeight="1"/>
    <row r="1009" ht="15.75" customHeight="1"/>
    <row r="1010" ht="15.75" customHeight="1"/>
  </sheetData>
  <mergeCells count="1">
    <mergeCell ref="A1:B3"/>
  </mergeCells>
  <hyperlinks>
    <hyperlink ref="A172" r:id="rId1"/>
    <hyperlink ref="A189" r:id="rId2"/>
    <hyperlink ref="A192" r:id="rId3"/>
    <hyperlink ref="A285" r:id="rId4"/>
  </hyperlinks>
  <pageMargins left="0.7" right="0.7" top="0.75" bottom="0.75" header="0.3" footer="0.3"/>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workbookViewId="0">
      <selection sqref="A1:B3"/>
    </sheetView>
  </sheetViews>
  <sheetFormatPr defaultColWidth="14.42578125" defaultRowHeight="15"/>
  <cols>
    <col min="1" max="1" width="37.28515625" style="2" customWidth="1"/>
    <col min="2" max="2" width="158.140625" style="2" customWidth="1"/>
    <col min="3" max="16384" width="14.42578125" style="2"/>
  </cols>
  <sheetData>
    <row r="1" spans="1:26">
      <c r="A1" s="6" t="s">
        <v>253</v>
      </c>
      <c r="B1" s="1"/>
      <c r="C1" s="15"/>
      <c r="D1" s="15"/>
      <c r="E1" s="15"/>
      <c r="F1" s="15"/>
      <c r="G1" s="15"/>
      <c r="H1" s="15"/>
      <c r="I1" s="15"/>
      <c r="J1" s="15"/>
      <c r="K1" s="15"/>
      <c r="L1" s="15"/>
      <c r="M1" s="15"/>
      <c r="N1" s="15"/>
      <c r="O1" s="15"/>
      <c r="P1" s="15"/>
      <c r="Q1" s="15"/>
      <c r="R1" s="15"/>
      <c r="S1" s="15"/>
      <c r="T1" s="15"/>
      <c r="U1" s="15"/>
      <c r="V1" s="15"/>
      <c r="W1" s="15"/>
      <c r="X1" s="15"/>
      <c r="Y1" s="15"/>
      <c r="Z1" s="15"/>
    </row>
    <row r="2" spans="1:26">
      <c r="A2" s="1"/>
      <c r="B2" s="1"/>
      <c r="C2" s="15"/>
      <c r="D2" s="15"/>
      <c r="E2" s="15"/>
      <c r="F2" s="15"/>
      <c r="G2" s="15"/>
      <c r="H2" s="15"/>
      <c r="I2" s="15"/>
      <c r="J2" s="15"/>
      <c r="K2" s="15"/>
      <c r="L2" s="15"/>
      <c r="M2" s="15"/>
      <c r="N2" s="15"/>
      <c r="O2" s="15"/>
      <c r="P2" s="15"/>
      <c r="Q2" s="15"/>
      <c r="R2" s="15"/>
      <c r="S2" s="15"/>
      <c r="T2" s="15"/>
      <c r="U2" s="15"/>
      <c r="V2" s="15"/>
      <c r="W2" s="15"/>
      <c r="X2" s="15"/>
      <c r="Y2" s="15"/>
      <c r="Z2" s="15"/>
    </row>
    <row r="3" spans="1:26">
      <c r="A3" s="1"/>
      <c r="B3" s="1"/>
      <c r="C3" s="15"/>
      <c r="D3" s="15"/>
      <c r="E3" s="15"/>
      <c r="F3" s="15"/>
      <c r="G3" s="15"/>
      <c r="H3" s="15"/>
      <c r="I3" s="15"/>
      <c r="J3" s="15"/>
      <c r="K3" s="15"/>
      <c r="L3" s="15"/>
      <c r="M3" s="15"/>
      <c r="N3" s="15"/>
      <c r="O3" s="15"/>
      <c r="P3" s="15"/>
      <c r="Q3" s="15"/>
      <c r="R3" s="15"/>
      <c r="S3" s="15"/>
      <c r="T3" s="15"/>
      <c r="U3" s="15"/>
      <c r="V3" s="15"/>
      <c r="W3" s="15"/>
      <c r="X3" s="15"/>
      <c r="Y3" s="15"/>
      <c r="Z3" s="15"/>
    </row>
    <row r="4" spans="1:26" ht="45" customHeight="1">
      <c r="A4" s="16" t="s">
        <v>0</v>
      </c>
      <c r="B4" s="8" t="s">
        <v>185</v>
      </c>
      <c r="C4" s="9"/>
      <c r="D4" s="9"/>
      <c r="E4" s="9"/>
      <c r="F4" s="9"/>
      <c r="G4" s="9"/>
      <c r="H4" s="9"/>
      <c r="I4" s="9"/>
      <c r="J4" s="9"/>
      <c r="K4" s="9"/>
      <c r="L4" s="9"/>
      <c r="M4" s="9"/>
      <c r="N4" s="9"/>
      <c r="O4" s="9"/>
      <c r="P4" s="9"/>
      <c r="Q4" s="9"/>
      <c r="R4" s="9"/>
      <c r="S4" s="9"/>
      <c r="T4" s="9"/>
      <c r="U4" s="9"/>
      <c r="V4" s="9"/>
      <c r="W4" s="9"/>
      <c r="X4" s="9"/>
      <c r="Y4" s="9"/>
      <c r="Z4" s="9"/>
    </row>
    <row r="5" spans="1:26" ht="45" customHeight="1">
      <c r="A5" s="17" t="str">
        <f>HYPERLINK("https://vimeo.com/121807104","90/90 Wall Balloon-Breathing")</f>
        <v>90/90 Wall Balloon-Breathing</v>
      </c>
      <c r="B5" s="11" t="s">
        <v>13</v>
      </c>
      <c r="C5" s="4"/>
      <c r="D5" s="4"/>
      <c r="E5" s="4"/>
      <c r="F5" s="4"/>
      <c r="G5" s="4"/>
      <c r="H5" s="4"/>
      <c r="I5" s="4"/>
      <c r="J5" s="4"/>
      <c r="K5" s="4"/>
      <c r="L5" s="4"/>
      <c r="M5" s="4"/>
      <c r="N5" s="4"/>
      <c r="O5" s="4"/>
      <c r="P5" s="4"/>
      <c r="Q5" s="4"/>
      <c r="R5" s="4"/>
      <c r="S5" s="4"/>
      <c r="T5" s="4"/>
      <c r="U5" s="4"/>
      <c r="V5" s="4"/>
      <c r="W5" s="4"/>
      <c r="X5" s="4"/>
      <c r="Y5" s="4"/>
      <c r="Z5" s="4"/>
    </row>
    <row r="6" spans="1:26" ht="45" customHeight="1">
      <c r="A6" s="17" t="str">
        <f>HYPERLINK("https://vimeo.com/121807106","Ab Wheel Iso")</f>
        <v>Ab Wheel Iso</v>
      </c>
      <c r="B6" s="11" t="s">
        <v>52</v>
      </c>
      <c r="C6" s="4"/>
      <c r="D6" s="4"/>
      <c r="E6" s="4"/>
      <c r="F6" s="4"/>
      <c r="G6" s="4"/>
      <c r="H6" s="4"/>
      <c r="I6" s="4"/>
      <c r="J6" s="4"/>
      <c r="K6" s="4"/>
      <c r="L6" s="4"/>
      <c r="M6" s="4"/>
      <c r="N6" s="4"/>
      <c r="O6" s="4"/>
      <c r="P6" s="4"/>
      <c r="Q6" s="4"/>
      <c r="R6" s="4"/>
      <c r="S6" s="4"/>
      <c r="T6" s="4"/>
      <c r="U6" s="4"/>
      <c r="V6" s="4"/>
      <c r="W6" s="4"/>
      <c r="X6" s="4"/>
      <c r="Y6" s="4"/>
      <c r="Z6" s="4"/>
    </row>
    <row r="7" spans="1:26" ht="45" customHeight="1">
      <c r="A7" s="17" t="str">
        <f>HYPERLINK("https://vimeo.com/121807110","Ab Wheel Rollout")</f>
        <v>Ab Wheel Rollout</v>
      </c>
      <c r="B7" s="4" t="s">
        <v>52</v>
      </c>
      <c r="C7" s="4"/>
      <c r="D7" s="4"/>
      <c r="E7" s="4"/>
      <c r="F7" s="4"/>
      <c r="G7" s="4"/>
      <c r="H7" s="4"/>
      <c r="I7" s="4"/>
      <c r="J7" s="4"/>
      <c r="K7" s="4"/>
      <c r="L7" s="4"/>
      <c r="M7" s="4"/>
      <c r="N7" s="4"/>
      <c r="O7" s="4"/>
      <c r="P7" s="4"/>
      <c r="Q7" s="4"/>
      <c r="R7" s="4"/>
      <c r="S7" s="4"/>
      <c r="T7" s="4"/>
      <c r="U7" s="4"/>
      <c r="V7" s="4"/>
      <c r="W7" s="4"/>
      <c r="X7" s="4"/>
      <c r="Y7" s="4"/>
      <c r="Z7" s="4"/>
    </row>
    <row r="8" spans="1:26" ht="45" customHeight="1">
      <c r="A8" s="17" t="str">
        <f>HYPERLINK("https://vimeo.com/121807112","Adductor Mobilization")</f>
        <v>Adductor Mobilization</v>
      </c>
      <c r="B8" s="11" t="s">
        <v>6</v>
      </c>
      <c r="C8" s="4"/>
      <c r="D8" s="4"/>
      <c r="E8" s="4"/>
      <c r="F8" s="4"/>
      <c r="G8" s="4"/>
      <c r="H8" s="4"/>
      <c r="I8" s="4"/>
      <c r="J8" s="4"/>
      <c r="K8" s="4"/>
      <c r="L8" s="4"/>
      <c r="M8" s="4"/>
      <c r="N8" s="4"/>
      <c r="O8" s="4"/>
      <c r="P8" s="4"/>
      <c r="Q8" s="4"/>
      <c r="R8" s="4"/>
      <c r="S8" s="4"/>
      <c r="T8" s="4"/>
      <c r="U8" s="4"/>
      <c r="V8" s="4"/>
      <c r="W8" s="4"/>
      <c r="X8" s="4"/>
      <c r="Y8" s="4"/>
      <c r="Z8" s="4"/>
    </row>
    <row r="9" spans="1:26" ht="45" customHeight="1">
      <c r="A9" s="17" t="str">
        <f>HYPERLINK("https://vimeo.com/121807113","Alternating Barbell Split Jump")</f>
        <v>Alternating Barbell Split Jump</v>
      </c>
      <c r="B9" s="11" t="s">
        <v>150</v>
      </c>
      <c r="C9" s="4"/>
      <c r="D9" s="4"/>
      <c r="E9" s="4"/>
      <c r="F9" s="4"/>
      <c r="G9" s="4"/>
      <c r="H9" s="4"/>
      <c r="I9" s="4"/>
      <c r="J9" s="4"/>
      <c r="K9" s="4"/>
      <c r="L9" s="4"/>
      <c r="M9" s="4"/>
      <c r="N9" s="4"/>
      <c r="O9" s="4"/>
      <c r="P9" s="4"/>
      <c r="Q9" s="4"/>
      <c r="R9" s="4"/>
      <c r="S9" s="4"/>
      <c r="T9" s="4"/>
      <c r="U9" s="4"/>
      <c r="V9" s="4"/>
      <c r="W9" s="4"/>
      <c r="X9" s="4"/>
      <c r="Y9" s="4"/>
      <c r="Z9" s="4"/>
    </row>
    <row r="10" spans="1:26" ht="45" customHeight="1">
      <c r="A10" s="17" t="str">
        <f>HYPERLINK("https://vimeo.com/121808325","Alternating Bodyweight Split Jump")</f>
        <v>Alternating Bodyweight Split Jump</v>
      </c>
      <c r="B10" s="11" t="s">
        <v>150</v>
      </c>
      <c r="C10" s="4"/>
      <c r="D10" s="4"/>
      <c r="E10" s="4"/>
      <c r="F10" s="4"/>
      <c r="G10" s="4"/>
      <c r="H10" s="4"/>
      <c r="I10" s="4"/>
      <c r="J10" s="4"/>
      <c r="K10" s="4"/>
      <c r="L10" s="4"/>
      <c r="M10" s="4"/>
      <c r="N10" s="4"/>
      <c r="O10" s="4"/>
      <c r="P10" s="4"/>
      <c r="Q10" s="4"/>
      <c r="R10" s="4"/>
      <c r="S10" s="4"/>
      <c r="T10" s="4"/>
      <c r="U10" s="4"/>
      <c r="V10" s="4"/>
      <c r="W10" s="4"/>
      <c r="X10" s="4"/>
      <c r="Y10" s="4"/>
      <c r="Z10" s="4"/>
    </row>
    <row r="11" spans="1:26" ht="45" customHeight="1">
      <c r="A11" s="17" t="str">
        <f>HYPERLINK("https://vimeo.com/121808326","Alternating Dumbbell Bench Press")</f>
        <v>Alternating Dumbbell Bench Press</v>
      </c>
      <c r="B11" s="11" t="s">
        <v>88</v>
      </c>
      <c r="C11" s="4"/>
      <c r="D11" s="4"/>
      <c r="E11" s="4"/>
      <c r="F11" s="4"/>
      <c r="G11" s="4"/>
      <c r="H11" s="4"/>
      <c r="I11" s="4"/>
      <c r="J11" s="4"/>
      <c r="K11" s="4"/>
      <c r="L11" s="4"/>
      <c r="M11" s="4"/>
      <c r="N11" s="4"/>
      <c r="O11" s="4"/>
      <c r="P11" s="4"/>
      <c r="Q11" s="4"/>
      <c r="R11" s="4"/>
      <c r="S11" s="4"/>
      <c r="T11" s="4"/>
      <c r="U11" s="4"/>
      <c r="V11" s="4"/>
      <c r="W11" s="4"/>
      <c r="X11" s="4"/>
      <c r="Y11" s="4"/>
      <c r="Z11" s="4"/>
    </row>
    <row r="12" spans="1:26" ht="45" customHeight="1">
      <c r="A12" s="17" t="str">
        <f>HYPERLINK("https://vimeo.com/121808328","Alternating Dumbbell Curl")</f>
        <v>Alternating Dumbbell Curl</v>
      </c>
      <c r="B12" s="11" t="s">
        <v>151</v>
      </c>
      <c r="C12" s="4"/>
      <c r="D12" s="4"/>
      <c r="E12" s="4"/>
      <c r="F12" s="4"/>
      <c r="G12" s="4"/>
      <c r="H12" s="4"/>
      <c r="I12" s="4"/>
      <c r="J12" s="4"/>
      <c r="K12" s="4"/>
      <c r="L12" s="4"/>
      <c r="M12" s="4"/>
      <c r="N12" s="4"/>
      <c r="O12" s="4"/>
      <c r="P12" s="4"/>
      <c r="Q12" s="4"/>
      <c r="R12" s="4"/>
      <c r="S12" s="4"/>
      <c r="T12" s="4"/>
      <c r="U12" s="4"/>
      <c r="V12" s="4"/>
      <c r="W12" s="4"/>
      <c r="X12" s="4"/>
      <c r="Y12" s="4"/>
      <c r="Z12" s="4"/>
    </row>
    <row r="13" spans="1:26" ht="45" customHeight="1">
      <c r="A13" s="17" t="str">
        <f>HYPERLINK("https://vimeo.com/121808329","Alternating Dumbell Split Jump")</f>
        <v>Alternating Dumbell Split Jump</v>
      </c>
      <c r="B13" s="11" t="s">
        <v>150</v>
      </c>
      <c r="C13" s="4"/>
      <c r="D13" s="4"/>
      <c r="E13" s="4"/>
      <c r="F13" s="4"/>
      <c r="G13" s="4"/>
      <c r="H13" s="4"/>
      <c r="I13" s="4"/>
      <c r="J13" s="4"/>
      <c r="K13" s="4"/>
      <c r="L13" s="4"/>
      <c r="M13" s="4"/>
      <c r="N13" s="4"/>
      <c r="O13" s="4"/>
      <c r="P13" s="4"/>
      <c r="Q13" s="4"/>
      <c r="R13" s="4"/>
      <c r="S13" s="4"/>
      <c r="T13" s="4"/>
      <c r="U13" s="4"/>
      <c r="V13" s="4"/>
      <c r="W13" s="4"/>
      <c r="X13" s="4"/>
      <c r="Y13" s="4"/>
      <c r="Z13" s="4"/>
    </row>
    <row r="14" spans="1:26" ht="45" customHeight="1">
      <c r="A14" s="17" t="str">
        <f>HYPERLINK("https://vimeo.com/121808330","Alternating Goblet Reverse Lunge With Blocked Knee")</f>
        <v>Alternating Goblet Reverse Lunge With Blocked Knee</v>
      </c>
      <c r="B14" s="11" t="s">
        <v>43</v>
      </c>
      <c r="C14" s="4"/>
      <c r="D14" s="4"/>
      <c r="E14" s="4"/>
      <c r="F14" s="4"/>
      <c r="G14" s="4"/>
      <c r="H14" s="4"/>
      <c r="I14" s="4"/>
      <c r="J14" s="4"/>
      <c r="K14" s="4"/>
      <c r="L14" s="4"/>
      <c r="M14" s="4"/>
      <c r="N14" s="4"/>
      <c r="O14" s="4"/>
      <c r="P14" s="4"/>
      <c r="Q14" s="4"/>
      <c r="R14" s="4"/>
      <c r="S14" s="4"/>
      <c r="T14" s="4"/>
      <c r="U14" s="4"/>
      <c r="V14" s="4"/>
      <c r="W14" s="4"/>
      <c r="X14" s="4"/>
      <c r="Y14" s="4"/>
      <c r="Z14" s="4"/>
    </row>
    <row r="15" spans="1:26" ht="45" customHeight="1">
      <c r="A15" s="17" t="str">
        <f>HYPERLINK("https://vimeo.com/121809092","Alternating Lateral Lunge Walk")</f>
        <v>Alternating Lateral Lunge Walk</v>
      </c>
      <c r="B15" s="11" t="s">
        <v>43</v>
      </c>
      <c r="C15" s="4"/>
      <c r="D15" s="4"/>
      <c r="E15" s="4"/>
      <c r="F15" s="4"/>
      <c r="G15" s="4"/>
      <c r="H15" s="4"/>
      <c r="I15" s="4"/>
      <c r="J15" s="4"/>
      <c r="K15" s="4"/>
      <c r="L15" s="4"/>
      <c r="M15" s="4"/>
      <c r="N15" s="4"/>
      <c r="O15" s="4"/>
      <c r="P15" s="4"/>
      <c r="Q15" s="4"/>
      <c r="R15" s="4"/>
      <c r="S15" s="4"/>
      <c r="T15" s="4"/>
      <c r="U15" s="4"/>
      <c r="V15" s="4"/>
      <c r="W15" s="4"/>
      <c r="X15" s="4"/>
      <c r="Y15" s="4"/>
      <c r="Z15" s="4"/>
    </row>
    <row r="16" spans="1:26" ht="45" customHeight="1">
      <c r="A16" s="17" t="str">
        <f>HYPERLINK("https://vimeo.com/121809094","Anderson Front Squat")</f>
        <v>Anderson Front Squat</v>
      </c>
      <c r="B16" s="11" t="s">
        <v>131</v>
      </c>
      <c r="C16" s="4"/>
      <c r="D16" s="4"/>
      <c r="E16" s="4"/>
      <c r="F16" s="4"/>
      <c r="G16" s="4"/>
      <c r="H16" s="4"/>
      <c r="I16" s="4"/>
      <c r="J16" s="4"/>
      <c r="K16" s="4"/>
      <c r="L16" s="4"/>
      <c r="M16" s="4"/>
      <c r="N16" s="4"/>
      <c r="O16" s="4"/>
      <c r="P16" s="4"/>
      <c r="Q16" s="4"/>
      <c r="R16" s="4"/>
      <c r="S16" s="4"/>
      <c r="T16" s="4"/>
      <c r="U16" s="4"/>
      <c r="V16" s="4"/>
      <c r="W16" s="4"/>
      <c r="X16" s="4"/>
      <c r="Y16" s="4"/>
      <c r="Z16" s="4"/>
    </row>
    <row r="17" spans="1:26" ht="45" customHeight="1">
      <c r="A17" s="17" t="str">
        <f>HYPERLINK("https://vimeo.com/121809095","Assisted Bodyweight Squat to Box")</f>
        <v>Assisted Bodyweight Squat to Box</v>
      </c>
      <c r="B17" s="4" t="s">
        <v>127</v>
      </c>
      <c r="C17" s="4"/>
      <c r="D17" s="4"/>
      <c r="E17" s="4"/>
      <c r="F17" s="4"/>
      <c r="G17" s="4"/>
      <c r="H17" s="4"/>
      <c r="I17" s="4"/>
      <c r="J17" s="4"/>
      <c r="K17" s="4"/>
      <c r="L17" s="4"/>
      <c r="M17" s="4"/>
      <c r="N17" s="4"/>
      <c r="O17" s="4"/>
      <c r="P17" s="4"/>
      <c r="Q17" s="4"/>
      <c r="R17" s="4"/>
      <c r="S17" s="4"/>
      <c r="T17" s="4"/>
      <c r="U17" s="4"/>
      <c r="V17" s="4"/>
      <c r="W17" s="4"/>
      <c r="X17" s="4"/>
      <c r="Y17" s="4"/>
      <c r="Z17" s="4"/>
    </row>
    <row r="18" spans="1:26" ht="45" customHeight="1">
      <c r="A18" s="17" t="str">
        <f>HYPERLINK("https://vimeo.com/121809096","Assisted Lateral Squat")</f>
        <v>Assisted Lateral Squat</v>
      </c>
      <c r="B18" s="4" t="s">
        <v>126</v>
      </c>
      <c r="C18" s="4"/>
      <c r="D18" s="4"/>
      <c r="E18" s="4"/>
      <c r="F18" s="4"/>
      <c r="G18" s="4"/>
      <c r="H18" s="4"/>
      <c r="I18" s="4"/>
      <c r="J18" s="4"/>
      <c r="K18" s="4"/>
      <c r="L18" s="4"/>
      <c r="M18" s="4"/>
      <c r="N18" s="4"/>
      <c r="O18" s="4"/>
      <c r="P18" s="4"/>
      <c r="Q18" s="4"/>
      <c r="R18" s="4"/>
      <c r="S18" s="4"/>
      <c r="T18" s="4"/>
      <c r="U18" s="4"/>
      <c r="V18" s="4"/>
      <c r="W18" s="4"/>
      <c r="X18" s="4"/>
      <c r="Y18" s="4"/>
      <c r="Z18" s="4"/>
    </row>
    <row r="19" spans="1:26" ht="45" customHeight="1">
      <c r="A19" s="17" t="str">
        <f>HYPERLINK("https://vimeo.com/121809097","Assisted Reverse Lunge With Blocked Knee")</f>
        <v>Assisted Reverse Lunge With Blocked Knee</v>
      </c>
      <c r="B19" s="11" t="s">
        <v>133</v>
      </c>
      <c r="C19" s="4"/>
      <c r="D19" s="4"/>
      <c r="E19" s="4"/>
      <c r="F19" s="4"/>
      <c r="G19" s="4"/>
      <c r="H19" s="4"/>
      <c r="I19" s="4"/>
      <c r="J19" s="4"/>
      <c r="K19" s="4"/>
      <c r="L19" s="4"/>
      <c r="M19" s="4"/>
      <c r="N19" s="4"/>
      <c r="O19" s="4"/>
      <c r="P19" s="4"/>
      <c r="Q19" s="4"/>
      <c r="R19" s="4"/>
      <c r="S19" s="4"/>
      <c r="T19" s="4"/>
      <c r="U19" s="4"/>
      <c r="V19" s="4"/>
      <c r="W19" s="4"/>
      <c r="X19" s="4"/>
      <c r="Y19" s="4"/>
      <c r="Z19" s="4"/>
    </row>
    <row r="20" spans="1:26" ht="45" customHeight="1">
      <c r="A20" s="17" t="str">
        <f>HYPERLINK("https://vimeo.com/121809961","Band Press-Down")</f>
        <v>Band Press-Down</v>
      </c>
      <c r="B20" s="11" t="s">
        <v>154</v>
      </c>
      <c r="C20" s="4"/>
      <c r="D20" s="4"/>
      <c r="E20" s="4"/>
      <c r="F20" s="4"/>
      <c r="G20" s="4"/>
      <c r="H20" s="4"/>
      <c r="I20" s="4"/>
      <c r="J20" s="4"/>
      <c r="K20" s="4"/>
      <c r="L20" s="4"/>
      <c r="M20" s="4"/>
      <c r="N20" s="4"/>
      <c r="O20" s="4"/>
      <c r="P20" s="4"/>
      <c r="Q20" s="4"/>
      <c r="R20" s="4"/>
      <c r="S20" s="4"/>
      <c r="T20" s="4"/>
      <c r="U20" s="4"/>
      <c r="V20" s="4"/>
      <c r="W20" s="4"/>
      <c r="X20" s="4"/>
      <c r="Y20" s="4"/>
      <c r="Z20" s="4"/>
    </row>
    <row r="21" spans="1:26" ht="45" customHeight="1">
      <c r="A21" s="17" t="str">
        <f>HYPERLINK("https://vimeo.com/121809963","Band Pull-Apart")</f>
        <v>Band Pull-Apart</v>
      </c>
      <c r="B21" s="11" t="s">
        <v>160</v>
      </c>
      <c r="C21" s="4"/>
      <c r="D21" s="4"/>
      <c r="E21" s="4"/>
      <c r="F21" s="4"/>
      <c r="G21" s="4"/>
      <c r="H21" s="4"/>
      <c r="I21" s="4"/>
      <c r="J21" s="4"/>
      <c r="K21" s="4"/>
      <c r="L21" s="4"/>
      <c r="M21" s="4"/>
      <c r="N21" s="4"/>
      <c r="O21" s="4"/>
      <c r="P21" s="4"/>
      <c r="Q21" s="4"/>
      <c r="R21" s="4"/>
      <c r="S21" s="4"/>
      <c r="T21" s="4"/>
      <c r="U21" s="4"/>
      <c r="V21" s="4"/>
      <c r="W21" s="4"/>
      <c r="X21" s="4"/>
      <c r="Y21" s="4"/>
      <c r="Z21" s="4"/>
    </row>
    <row r="22" spans="1:26" ht="45" customHeight="1">
      <c r="A22" s="17" t="str">
        <f>HYPERLINK("https://vimeo.com/121809969","Band Stomp")</f>
        <v>Band Stomp</v>
      </c>
      <c r="B22" s="11" t="s">
        <v>186</v>
      </c>
      <c r="C22" s="4"/>
      <c r="D22" s="4"/>
      <c r="E22" s="4"/>
      <c r="F22" s="4"/>
      <c r="G22" s="4"/>
      <c r="H22" s="4"/>
      <c r="I22" s="4"/>
      <c r="J22" s="4"/>
      <c r="K22" s="4"/>
      <c r="L22" s="4"/>
      <c r="M22" s="4"/>
      <c r="N22" s="4"/>
      <c r="O22" s="4"/>
      <c r="P22" s="4"/>
      <c r="Q22" s="4"/>
      <c r="R22" s="4"/>
      <c r="S22" s="4"/>
      <c r="T22" s="4"/>
      <c r="U22" s="4"/>
      <c r="V22" s="4"/>
      <c r="W22" s="4"/>
      <c r="X22" s="4"/>
      <c r="Y22" s="4"/>
      <c r="Z22" s="4"/>
    </row>
    <row r="23" spans="1:26" ht="45" customHeight="1">
      <c r="A23" s="17" t="str">
        <f>HYPERLINK("https://vimeo.com/121809970","Band-Assisted Chin-Up")</f>
        <v>Band-Assisted Chin-Up</v>
      </c>
      <c r="B23" s="11" t="s">
        <v>121</v>
      </c>
      <c r="C23" s="4"/>
      <c r="D23" s="4"/>
      <c r="E23" s="4"/>
      <c r="F23" s="4"/>
      <c r="G23" s="4"/>
      <c r="H23" s="4"/>
      <c r="I23" s="4"/>
      <c r="J23" s="4"/>
      <c r="K23" s="4"/>
      <c r="L23" s="4"/>
      <c r="M23" s="4"/>
      <c r="N23" s="4"/>
      <c r="O23" s="4"/>
      <c r="P23" s="4"/>
      <c r="Q23" s="4"/>
      <c r="R23" s="4"/>
      <c r="S23" s="4"/>
      <c r="T23" s="4"/>
      <c r="U23" s="4"/>
      <c r="V23" s="4"/>
      <c r="W23" s="4"/>
      <c r="X23" s="4"/>
      <c r="Y23" s="4"/>
      <c r="Z23" s="4"/>
    </row>
    <row r="24" spans="1:26" ht="45" customHeight="1">
      <c r="A24" s="17" t="str">
        <f>HYPERLINK("https://vimeo.com/121809972","Band-Assisted Inverted Row")</f>
        <v>Band-Assisted Inverted Row</v>
      </c>
      <c r="B24" s="11" t="s">
        <v>109</v>
      </c>
      <c r="C24" s="4"/>
      <c r="D24" s="4"/>
      <c r="E24" s="4"/>
      <c r="F24" s="4"/>
      <c r="G24" s="4"/>
      <c r="H24" s="4"/>
      <c r="I24" s="4"/>
      <c r="J24" s="4"/>
      <c r="K24" s="4"/>
      <c r="L24" s="4"/>
      <c r="M24" s="4"/>
      <c r="N24" s="4"/>
      <c r="O24" s="4"/>
      <c r="P24" s="4"/>
      <c r="Q24" s="4"/>
      <c r="R24" s="4"/>
      <c r="S24" s="4"/>
      <c r="T24" s="4"/>
      <c r="U24" s="4"/>
      <c r="V24" s="4"/>
      <c r="W24" s="4"/>
      <c r="X24" s="4"/>
      <c r="Y24" s="4"/>
      <c r="Z24" s="4"/>
    </row>
    <row r="25" spans="1:26" ht="45" customHeight="1">
      <c r="A25" s="17" t="str">
        <f>HYPERLINK("https://vimeo.com/121824707","Band-Assisted Neutral-Grip Pull-Up")</f>
        <v>Band-Assisted Neutral-Grip Pull-Up</v>
      </c>
      <c r="B25" s="11" t="s">
        <v>121</v>
      </c>
      <c r="C25" s="4"/>
      <c r="D25" s="4"/>
      <c r="E25" s="4"/>
      <c r="F25" s="4"/>
      <c r="G25" s="4"/>
      <c r="H25" s="4"/>
      <c r="I25" s="4"/>
      <c r="J25" s="4"/>
      <c r="K25" s="4"/>
      <c r="L25" s="4"/>
      <c r="M25" s="4"/>
      <c r="N25" s="4"/>
      <c r="O25" s="4"/>
      <c r="P25" s="4"/>
      <c r="Q25" s="4"/>
      <c r="R25" s="4"/>
      <c r="S25" s="4"/>
      <c r="T25" s="4"/>
      <c r="U25" s="4"/>
      <c r="V25" s="4"/>
      <c r="W25" s="4"/>
      <c r="X25" s="4"/>
      <c r="Y25" s="4"/>
      <c r="Z25" s="4"/>
    </row>
    <row r="26" spans="1:26" ht="45" customHeight="1">
      <c r="A26" s="17" t="str">
        <f>HYPERLINK("https://vimeo.com/121824709","Band-Assisted Pull-Up")</f>
        <v>Band-Assisted Pull-Up</v>
      </c>
      <c r="B26" s="11" t="s">
        <v>121</v>
      </c>
      <c r="C26" s="4"/>
      <c r="D26" s="4"/>
      <c r="E26" s="4"/>
      <c r="F26" s="4"/>
      <c r="G26" s="4"/>
      <c r="H26" s="4"/>
      <c r="I26" s="4"/>
      <c r="J26" s="4"/>
      <c r="K26" s="4"/>
      <c r="L26" s="4"/>
      <c r="M26" s="4"/>
      <c r="N26" s="4"/>
      <c r="O26" s="4"/>
      <c r="P26" s="4"/>
      <c r="Q26" s="4"/>
      <c r="R26" s="4"/>
      <c r="S26" s="4"/>
      <c r="T26" s="4"/>
      <c r="U26" s="4"/>
      <c r="V26" s="4"/>
      <c r="W26" s="4"/>
      <c r="X26" s="4"/>
      <c r="Y26" s="4"/>
      <c r="Z26" s="4"/>
    </row>
    <row r="27" spans="1:26" ht="45" customHeight="1">
      <c r="A27" s="17" t="str">
        <f>HYPERLINK("https://vimeo.com/121824711","Band-Assisted Pushup")</f>
        <v>Band-Assisted Pushup</v>
      </c>
      <c r="B27" s="11" t="s">
        <v>89</v>
      </c>
      <c r="C27" s="4"/>
      <c r="D27" s="4"/>
      <c r="E27" s="4"/>
      <c r="F27" s="4"/>
      <c r="G27" s="4"/>
      <c r="H27" s="4"/>
      <c r="I27" s="4"/>
      <c r="J27" s="4"/>
      <c r="K27" s="4"/>
      <c r="L27" s="4"/>
      <c r="M27" s="4"/>
      <c r="N27" s="4"/>
      <c r="O27" s="4"/>
      <c r="P27" s="4"/>
      <c r="Q27" s="4"/>
      <c r="R27" s="4"/>
      <c r="S27" s="4"/>
      <c r="T27" s="4"/>
      <c r="U27" s="4"/>
      <c r="V27" s="4"/>
      <c r="W27" s="4"/>
      <c r="X27" s="4"/>
      <c r="Y27" s="4"/>
      <c r="Z27" s="4"/>
    </row>
    <row r="28" spans="1:26" ht="45" customHeight="1">
      <c r="A28" s="17" t="str">
        <f>HYPERLINK("https://vimeo.com/121824712","Band-Resisted Ab Wheel Iso")</f>
        <v>Band-Resisted Ab Wheel Iso</v>
      </c>
      <c r="B28" s="4" t="s">
        <v>52</v>
      </c>
      <c r="C28" s="4"/>
      <c r="D28" s="4"/>
      <c r="E28" s="4"/>
      <c r="F28" s="4"/>
      <c r="G28" s="4"/>
      <c r="H28" s="4"/>
      <c r="I28" s="4"/>
      <c r="J28" s="4"/>
      <c r="K28" s="4"/>
      <c r="L28" s="4"/>
      <c r="M28" s="4"/>
      <c r="N28" s="4"/>
      <c r="O28" s="4"/>
      <c r="P28" s="4"/>
      <c r="Q28" s="4"/>
      <c r="R28" s="4"/>
      <c r="S28" s="4"/>
      <c r="T28" s="4"/>
      <c r="U28" s="4"/>
      <c r="V28" s="4"/>
      <c r="W28" s="4"/>
      <c r="X28" s="4"/>
      <c r="Y28" s="4"/>
      <c r="Z28" s="4"/>
    </row>
    <row r="29" spans="1:26" ht="45" customHeight="1">
      <c r="A29" s="17" t="str">
        <f>HYPERLINK("https://vimeo.com/121824714","Band-Resisted Glute Bridge")</f>
        <v>Band-Resisted Glute Bridge</v>
      </c>
      <c r="B29" s="11" t="s">
        <v>146</v>
      </c>
      <c r="C29" s="4"/>
      <c r="D29" s="4"/>
      <c r="E29" s="4"/>
      <c r="F29" s="4"/>
      <c r="G29" s="4"/>
      <c r="H29" s="4"/>
      <c r="I29" s="4"/>
      <c r="J29" s="4"/>
      <c r="K29" s="4"/>
      <c r="L29" s="4"/>
      <c r="M29" s="4"/>
      <c r="N29" s="4"/>
      <c r="O29" s="4"/>
      <c r="P29" s="4"/>
      <c r="Q29" s="4"/>
      <c r="R29" s="4"/>
      <c r="S29" s="4"/>
      <c r="T29" s="4"/>
      <c r="U29" s="4"/>
      <c r="V29" s="4"/>
      <c r="W29" s="4"/>
      <c r="X29" s="4"/>
      <c r="Y29" s="4"/>
      <c r="Z29" s="4"/>
    </row>
    <row r="30" spans="1:26" ht="45" customHeight="1">
      <c r="A30" s="17" t="str">
        <f>HYPERLINK("https://vimeo.com/121826848","Band-Resisted Goblet Squat")</f>
        <v>Band-Resisted Goblet Squat</v>
      </c>
      <c r="B30" s="11" t="s">
        <v>130</v>
      </c>
      <c r="C30" s="4"/>
      <c r="D30" s="4"/>
      <c r="E30" s="4"/>
      <c r="F30" s="4"/>
      <c r="G30" s="4"/>
      <c r="H30" s="4"/>
      <c r="I30" s="4"/>
      <c r="J30" s="4"/>
      <c r="K30" s="4"/>
      <c r="L30" s="4"/>
      <c r="M30" s="4"/>
      <c r="N30" s="4"/>
      <c r="O30" s="4"/>
      <c r="P30" s="4"/>
      <c r="Q30" s="4"/>
      <c r="R30" s="4"/>
      <c r="S30" s="4"/>
      <c r="T30" s="4"/>
      <c r="U30" s="4"/>
      <c r="V30" s="4"/>
      <c r="W30" s="4"/>
      <c r="X30" s="4"/>
      <c r="Y30" s="4"/>
      <c r="Z30" s="4"/>
    </row>
    <row r="31" spans="1:26" ht="45" customHeight="1">
      <c r="A31" s="17" t="str">
        <f>HYPERLINK("https://vimeo.com/121826852","Band-Resisted Pull-Up")</f>
        <v>Band-Resisted Pull-Up</v>
      </c>
      <c r="B31" s="11" t="s">
        <v>121</v>
      </c>
      <c r="C31" s="4"/>
      <c r="D31" s="4"/>
      <c r="E31" s="4"/>
      <c r="F31" s="4"/>
      <c r="G31" s="4"/>
      <c r="H31" s="4"/>
      <c r="I31" s="4"/>
      <c r="J31" s="4"/>
      <c r="K31" s="4"/>
      <c r="L31" s="4"/>
      <c r="M31" s="4"/>
      <c r="N31" s="4"/>
      <c r="O31" s="4"/>
      <c r="P31" s="4"/>
      <c r="Q31" s="4"/>
      <c r="R31" s="4"/>
      <c r="S31" s="4"/>
      <c r="T31" s="4"/>
      <c r="U31" s="4"/>
      <c r="V31" s="4"/>
      <c r="W31" s="4"/>
      <c r="X31" s="4"/>
      <c r="Y31" s="4"/>
      <c r="Z31" s="4"/>
    </row>
    <row r="32" spans="1:26" ht="45" customHeight="1">
      <c r="A32" s="17" t="str">
        <f>HYPERLINK("https://vimeo.com/121826853","Band-Resisted Pushup")</f>
        <v>Band-Resisted Pushup</v>
      </c>
      <c r="B32" s="11" t="s">
        <v>89</v>
      </c>
      <c r="C32" s="4"/>
      <c r="D32" s="4"/>
      <c r="E32" s="4"/>
      <c r="F32" s="4"/>
      <c r="G32" s="4"/>
      <c r="H32" s="4"/>
      <c r="I32" s="4"/>
      <c r="J32" s="4"/>
      <c r="K32" s="4"/>
      <c r="L32" s="4"/>
      <c r="M32" s="4"/>
      <c r="N32" s="4"/>
      <c r="O32" s="4"/>
      <c r="P32" s="4"/>
      <c r="Q32" s="4"/>
      <c r="R32" s="4"/>
      <c r="S32" s="4"/>
      <c r="T32" s="4"/>
      <c r="U32" s="4"/>
      <c r="V32" s="4"/>
      <c r="W32" s="4"/>
      <c r="X32" s="4"/>
      <c r="Y32" s="4"/>
      <c r="Z32" s="4"/>
    </row>
    <row r="33" spans="1:26" ht="45" customHeight="1">
      <c r="A33" s="17" t="str">
        <f>HYPERLINK("https://vimeo.com/121826857","Band-Resisted Ring Pushup")</f>
        <v>Band-Resisted Ring Pushup</v>
      </c>
      <c r="B33" s="11" t="s">
        <v>89</v>
      </c>
      <c r="C33" s="4"/>
      <c r="D33" s="4"/>
      <c r="E33" s="4"/>
      <c r="F33" s="4"/>
      <c r="G33" s="4"/>
      <c r="H33" s="4"/>
      <c r="I33" s="4"/>
      <c r="J33" s="4"/>
      <c r="K33" s="4"/>
      <c r="L33" s="4"/>
      <c r="M33" s="4"/>
      <c r="N33" s="4"/>
      <c r="O33" s="4"/>
      <c r="P33" s="4"/>
      <c r="Q33" s="4"/>
      <c r="R33" s="4"/>
      <c r="S33" s="4"/>
      <c r="T33" s="4"/>
      <c r="U33" s="4"/>
      <c r="V33" s="4"/>
      <c r="W33" s="4"/>
      <c r="X33" s="4"/>
      <c r="Y33" s="4"/>
      <c r="Z33" s="4"/>
    </row>
    <row r="34" spans="1:26" ht="45" customHeight="1">
      <c r="A34" s="17" t="str">
        <f>HYPERLINK("https://vimeo.com/121826855","Band-Resisted Scapular Pushup")</f>
        <v>Band-Resisted Scapular Pushup</v>
      </c>
      <c r="B34" s="11" t="s">
        <v>168</v>
      </c>
      <c r="C34" s="4"/>
      <c r="D34" s="4"/>
      <c r="E34" s="4"/>
      <c r="F34" s="4"/>
      <c r="G34" s="4"/>
      <c r="H34" s="4"/>
      <c r="I34" s="4"/>
      <c r="J34" s="4"/>
      <c r="K34" s="4"/>
      <c r="L34" s="4"/>
      <c r="M34" s="4"/>
      <c r="N34" s="4"/>
      <c r="O34" s="4"/>
      <c r="P34" s="4"/>
      <c r="Q34" s="4"/>
      <c r="R34" s="4"/>
      <c r="S34" s="4"/>
      <c r="T34" s="4"/>
      <c r="U34" s="4"/>
      <c r="V34" s="4"/>
      <c r="W34" s="4"/>
      <c r="X34" s="4"/>
      <c r="Y34" s="4"/>
      <c r="Z34" s="4"/>
    </row>
    <row r="35" spans="1:26" ht="45" customHeight="1">
      <c r="A35" s="17" t="str">
        <f>HYPERLINK("https://vimeo.com/121828054","Band-Resisted Squat")</f>
        <v>Band-Resisted Squat</v>
      </c>
      <c r="B35" s="4" t="s">
        <v>128</v>
      </c>
      <c r="C35" s="4"/>
      <c r="D35" s="4"/>
      <c r="E35" s="4"/>
      <c r="F35" s="4"/>
      <c r="G35" s="4"/>
      <c r="H35" s="4"/>
      <c r="I35" s="4"/>
      <c r="J35" s="4"/>
      <c r="K35" s="4"/>
      <c r="L35" s="4"/>
      <c r="M35" s="4"/>
      <c r="N35" s="4"/>
      <c r="O35" s="4"/>
      <c r="P35" s="4"/>
      <c r="Q35" s="4"/>
      <c r="R35" s="4"/>
      <c r="S35" s="4"/>
      <c r="T35" s="4"/>
      <c r="U35" s="4"/>
      <c r="V35" s="4"/>
      <c r="W35" s="4"/>
      <c r="X35" s="4"/>
      <c r="Y35" s="4"/>
      <c r="Z35" s="4"/>
    </row>
    <row r="36" spans="1:26" ht="45" customHeight="1">
      <c r="A36" s="17" t="str">
        <f>HYPERLINK("https://vimeo.com/121828057","Banded Curl")</f>
        <v>Banded Curl</v>
      </c>
      <c r="B36" s="11" t="s">
        <v>152</v>
      </c>
      <c r="C36" s="4"/>
      <c r="D36" s="4"/>
      <c r="E36" s="4"/>
      <c r="F36" s="4"/>
      <c r="G36" s="4"/>
      <c r="H36" s="4"/>
      <c r="I36" s="4"/>
      <c r="J36" s="4"/>
      <c r="K36" s="4"/>
      <c r="L36" s="4"/>
      <c r="M36" s="4"/>
      <c r="N36" s="4"/>
      <c r="O36" s="4"/>
      <c r="P36" s="4"/>
      <c r="Q36" s="4"/>
      <c r="R36" s="4"/>
      <c r="S36" s="4"/>
      <c r="T36" s="4"/>
      <c r="U36" s="4"/>
      <c r="V36" s="4"/>
      <c r="W36" s="4"/>
      <c r="X36" s="4"/>
      <c r="Y36" s="4"/>
      <c r="Z36" s="4"/>
    </row>
    <row r="37" spans="1:26" ht="45" customHeight="1">
      <c r="A37" s="17" t="str">
        <f>HYPERLINK("https://vimeo.com/121828059","Banded External Rotation at 30 Degrees Abduction")</f>
        <v>Banded External Rotation at 30 Degrees Abduction</v>
      </c>
      <c r="B37" s="11" t="s">
        <v>161</v>
      </c>
      <c r="C37" s="4"/>
      <c r="D37" s="4"/>
      <c r="E37" s="4"/>
      <c r="F37" s="4"/>
      <c r="G37" s="4"/>
      <c r="H37" s="4"/>
      <c r="I37" s="4"/>
      <c r="J37" s="4"/>
      <c r="K37" s="4"/>
      <c r="L37" s="4"/>
      <c r="M37" s="4"/>
      <c r="N37" s="4"/>
      <c r="O37" s="4"/>
      <c r="P37" s="4"/>
      <c r="Q37" s="4"/>
      <c r="R37" s="4"/>
      <c r="S37" s="4"/>
      <c r="T37" s="4"/>
      <c r="U37" s="4"/>
      <c r="V37" s="4"/>
      <c r="W37" s="4"/>
      <c r="X37" s="4"/>
      <c r="Y37" s="4"/>
      <c r="Z37" s="4"/>
    </row>
    <row r="38" spans="1:26" ht="45" customHeight="1">
      <c r="A38" s="17" t="str">
        <f>HYPERLINK("https://vimeo.com/121828061","Banded External Rotation at 90 Degrees Abduction")</f>
        <v>Banded External Rotation at 90 Degrees Abduction</v>
      </c>
      <c r="B38" s="11" t="s">
        <v>161</v>
      </c>
      <c r="C38" s="4"/>
      <c r="D38" s="4"/>
      <c r="E38" s="4"/>
      <c r="F38" s="4"/>
      <c r="G38" s="4"/>
      <c r="H38" s="4"/>
      <c r="I38" s="4"/>
      <c r="J38" s="4"/>
      <c r="K38" s="4"/>
      <c r="L38" s="4"/>
      <c r="M38" s="4"/>
      <c r="N38" s="4"/>
      <c r="O38" s="4"/>
      <c r="P38" s="4"/>
      <c r="Q38" s="4"/>
      <c r="R38" s="4"/>
      <c r="S38" s="4"/>
      <c r="T38" s="4"/>
      <c r="U38" s="4"/>
      <c r="V38" s="4"/>
      <c r="W38" s="4"/>
      <c r="X38" s="4"/>
      <c r="Y38" s="4"/>
      <c r="Z38" s="4"/>
    </row>
    <row r="39" spans="1:26" ht="45" customHeight="1">
      <c r="A39" s="17" t="str">
        <f>HYPERLINK("https://vimeo.com/121828062","Banded Face Pull")</f>
        <v>Banded Face Pull</v>
      </c>
      <c r="B39" s="11" t="s">
        <v>162</v>
      </c>
      <c r="C39" s="4"/>
      <c r="D39" s="4"/>
      <c r="E39" s="4"/>
      <c r="F39" s="4"/>
      <c r="G39" s="4"/>
      <c r="H39" s="4"/>
      <c r="I39" s="4"/>
      <c r="J39" s="4"/>
      <c r="K39" s="4"/>
      <c r="L39" s="4"/>
      <c r="M39" s="4"/>
      <c r="N39" s="4"/>
      <c r="O39" s="4"/>
      <c r="P39" s="4"/>
      <c r="Q39" s="4"/>
      <c r="R39" s="4"/>
      <c r="S39" s="4"/>
      <c r="T39" s="4"/>
      <c r="U39" s="4"/>
      <c r="V39" s="4"/>
      <c r="W39" s="4"/>
      <c r="X39" s="4"/>
      <c r="Y39" s="4"/>
      <c r="Z39" s="4"/>
    </row>
    <row r="40" spans="1:26" ht="45" customHeight="1">
      <c r="A40" s="17" t="str">
        <f>HYPERLINK("https://vimeo.com/121829331","Banded Hip Extension")</f>
        <v>Banded Hip Extension</v>
      </c>
      <c r="B40" s="11" t="s">
        <v>187</v>
      </c>
      <c r="C40" s="4"/>
      <c r="D40" s="4"/>
      <c r="E40" s="4"/>
      <c r="F40" s="4"/>
      <c r="G40" s="4"/>
      <c r="H40" s="4"/>
      <c r="I40" s="4"/>
      <c r="J40" s="4"/>
      <c r="K40" s="4"/>
      <c r="L40" s="4"/>
      <c r="M40" s="4"/>
      <c r="N40" s="4"/>
      <c r="O40" s="4"/>
      <c r="P40" s="4"/>
      <c r="Q40" s="4"/>
      <c r="R40" s="4"/>
      <c r="S40" s="4"/>
      <c r="T40" s="4"/>
      <c r="U40" s="4"/>
      <c r="V40" s="4"/>
      <c r="W40" s="4"/>
      <c r="X40" s="4"/>
      <c r="Y40" s="4"/>
      <c r="Z40" s="4"/>
    </row>
    <row r="41" spans="1:26" ht="45" customHeight="1">
      <c r="A41" s="17" t="str">
        <f>HYPERLINK("https://vimeo.com/121829334","Banded No Money")</f>
        <v>Banded No Money</v>
      </c>
      <c r="B41" s="11" t="s">
        <v>30</v>
      </c>
      <c r="C41" s="4"/>
      <c r="D41" s="4"/>
      <c r="E41" s="4"/>
      <c r="F41" s="4"/>
      <c r="G41" s="4"/>
      <c r="H41" s="4"/>
      <c r="I41" s="4"/>
      <c r="J41" s="4"/>
      <c r="K41" s="4"/>
      <c r="L41" s="4"/>
      <c r="M41" s="4"/>
      <c r="N41" s="4"/>
      <c r="O41" s="4"/>
      <c r="P41" s="4"/>
      <c r="Q41" s="4"/>
      <c r="R41" s="4"/>
      <c r="S41" s="4"/>
      <c r="T41" s="4"/>
      <c r="U41" s="4"/>
      <c r="V41" s="4"/>
      <c r="W41" s="4"/>
      <c r="X41" s="4"/>
      <c r="Y41" s="4"/>
      <c r="Z41" s="4"/>
    </row>
    <row r="42" spans="1:26" ht="45" customHeight="1">
      <c r="A42" s="17" t="str">
        <f>HYPERLINK("https://vimeo.com/121829335","Banded Pull-Down")</f>
        <v>Banded Pull-Down</v>
      </c>
      <c r="B42" s="11" t="s">
        <v>122</v>
      </c>
      <c r="C42" s="4"/>
      <c r="D42" s="4"/>
      <c r="E42" s="4"/>
      <c r="F42" s="4"/>
      <c r="G42" s="4"/>
      <c r="H42" s="4"/>
      <c r="I42" s="4"/>
      <c r="J42" s="4"/>
      <c r="K42" s="4"/>
      <c r="L42" s="4"/>
      <c r="M42" s="4"/>
      <c r="N42" s="4"/>
      <c r="O42" s="4"/>
      <c r="P42" s="4"/>
      <c r="Q42" s="4"/>
      <c r="R42" s="4"/>
      <c r="S42" s="4"/>
      <c r="T42" s="4"/>
      <c r="U42" s="4"/>
      <c r="V42" s="4"/>
      <c r="W42" s="4"/>
      <c r="X42" s="4"/>
      <c r="Y42" s="4"/>
      <c r="Z42" s="4"/>
    </row>
    <row r="43" spans="1:26" ht="45" customHeight="1">
      <c r="A43" s="17" t="str">
        <f>HYPERLINK("https://vimeo.com/121829337","Banded Scapular Protraction")</f>
        <v>Banded Scapular Protraction</v>
      </c>
      <c r="B43" s="11" t="s">
        <v>163</v>
      </c>
      <c r="C43" s="4"/>
      <c r="D43" s="4"/>
      <c r="E43" s="4"/>
      <c r="F43" s="4"/>
      <c r="G43" s="4"/>
      <c r="H43" s="4"/>
      <c r="I43" s="4"/>
      <c r="J43" s="4"/>
      <c r="K43" s="4"/>
      <c r="L43" s="4"/>
      <c r="M43" s="4"/>
      <c r="N43" s="4"/>
      <c r="O43" s="4"/>
      <c r="P43" s="4"/>
      <c r="Q43" s="4"/>
      <c r="R43" s="4"/>
      <c r="S43" s="4"/>
      <c r="T43" s="4"/>
      <c r="U43" s="4"/>
      <c r="V43" s="4"/>
      <c r="W43" s="4"/>
      <c r="X43" s="4"/>
      <c r="Y43" s="4"/>
      <c r="Z43" s="4"/>
    </row>
    <row r="44" spans="1:26" ht="45" customHeight="1">
      <c r="A44" s="17" t="str">
        <f>HYPERLINK("https://vimeo.com/121830733","Barbell Back Squat")</f>
        <v>Barbell Back Squat</v>
      </c>
      <c r="B44" s="11" t="s">
        <v>188</v>
      </c>
      <c r="C44" s="4"/>
      <c r="D44" s="4"/>
      <c r="E44" s="4"/>
      <c r="F44" s="4"/>
      <c r="G44" s="4"/>
      <c r="H44" s="4"/>
      <c r="I44" s="4"/>
      <c r="J44" s="4"/>
      <c r="K44" s="4"/>
      <c r="L44" s="4"/>
      <c r="M44" s="4"/>
      <c r="N44" s="4"/>
      <c r="O44" s="4"/>
      <c r="P44" s="4"/>
      <c r="Q44" s="4"/>
      <c r="R44" s="4"/>
      <c r="S44" s="4"/>
      <c r="T44" s="4"/>
      <c r="U44" s="4"/>
      <c r="V44" s="4"/>
      <c r="W44" s="4"/>
      <c r="X44" s="4"/>
      <c r="Y44" s="4"/>
      <c r="Z44" s="4"/>
    </row>
    <row r="45" spans="1:26" ht="45" customHeight="1">
      <c r="A45" s="17" t="str">
        <f>HYPERLINK("https://vimeo.com/121830736","Barbell Bench Press")</f>
        <v>Barbell Bench Press</v>
      </c>
      <c r="B45" s="11" t="s">
        <v>86</v>
      </c>
      <c r="C45" s="4"/>
      <c r="D45" s="4"/>
      <c r="E45" s="4"/>
      <c r="F45" s="4"/>
      <c r="G45" s="4"/>
      <c r="H45" s="4"/>
      <c r="I45" s="4"/>
      <c r="J45" s="4"/>
      <c r="K45" s="4"/>
      <c r="L45" s="4"/>
      <c r="M45" s="4"/>
      <c r="N45" s="4"/>
      <c r="O45" s="4"/>
      <c r="P45" s="4"/>
      <c r="Q45" s="4"/>
      <c r="R45" s="4"/>
      <c r="S45" s="4"/>
      <c r="T45" s="4"/>
      <c r="U45" s="4"/>
      <c r="V45" s="4"/>
      <c r="W45" s="4"/>
      <c r="X45" s="4"/>
      <c r="Y45" s="4"/>
      <c r="Z45" s="4"/>
    </row>
    <row r="46" spans="1:26" ht="45" customHeight="1">
      <c r="A46" s="17" t="str">
        <f>HYPERLINK("https://vimeo.com/121830738","Barbell Bench Press From Pins")</f>
        <v>Barbell Bench Press From Pins</v>
      </c>
      <c r="B46" s="11" t="s">
        <v>86</v>
      </c>
      <c r="C46" s="4"/>
      <c r="D46" s="4"/>
      <c r="E46" s="4"/>
      <c r="F46" s="4"/>
      <c r="G46" s="4"/>
      <c r="H46" s="4"/>
      <c r="I46" s="4"/>
      <c r="J46" s="4"/>
      <c r="K46" s="4"/>
      <c r="L46" s="4"/>
      <c r="M46" s="4"/>
      <c r="N46" s="4"/>
      <c r="O46" s="4"/>
      <c r="P46" s="4"/>
      <c r="Q46" s="4"/>
      <c r="R46" s="4"/>
      <c r="S46" s="4"/>
      <c r="T46" s="4"/>
      <c r="U46" s="4"/>
      <c r="V46" s="4"/>
      <c r="W46" s="4"/>
      <c r="X46" s="4"/>
      <c r="Y46" s="4"/>
      <c r="Z46" s="4"/>
    </row>
    <row r="47" spans="1:26" ht="45" customHeight="1">
      <c r="A47" s="17" t="str">
        <f>HYPERLINK("https://vimeo.com/121830739","Barbell Box Squat")</f>
        <v>Barbell Box Squat</v>
      </c>
      <c r="B47" s="11" t="s">
        <v>189</v>
      </c>
      <c r="C47" s="4"/>
      <c r="D47" s="4"/>
      <c r="E47" s="4"/>
      <c r="F47" s="4"/>
      <c r="G47" s="4"/>
      <c r="H47" s="4"/>
      <c r="I47" s="4"/>
      <c r="J47" s="4"/>
      <c r="K47" s="4"/>
      <c r="L47" s="4"/>
      <c r="M47" s="4"/>
      <c r="N47" s="4"/>
      <c r="O47" s="4"/>
      <c r="P47" s="4"/>
      <c r="Q47" s="4"/>
      <c r="R47" s="4"/>
      <c r="S47" s="4"/>
      <c r="T47" s="4"/>
      <c r="U47" s="4"/>
      <c r="V47" s="4"/>
      <c r="W47" s="4"/>
      <c r="X47" s="4"/>
      <c r="Y47" s="4"/>
      <c r="Z47" s="4"/>
    </row>
    <row r="48" spans="1:26" ht="45" customHeight="1">
      <c r="A48" s="17" t="str">
        <f>HYPERLINK("https://vimeo.com/121830740","Barbell Curl")</f>
        <v>Barbell Curl</v>
      </c>
      <c r="B48" s="11" t="s">
        <v>151</v>
      </c>
      <c r="C48" s="4"/>
      <c r="D48" s="4"/>
      <c r="E48" s="4"/>
      <c r="F48" s="4"/>
      <c r="G48" s="4"/>
      <c r="H48" s="4"/>
      <c r="I48" s="4"/>
      <c r="J48" s="4"/>
      <c r="K48" s="4"/>
      <c r="L48" s="4"/>
      <c r="M48" s="4"/>
      <c r="N48" s="4"/>
      <c r="O48" s="4"/>
      <c r="P48" s="4"/>
      <c r="Q48" s="4"/>
      <c r="R48" s="4"/>
      <c r="S48" s="4"/>
      <c r="T48" s="4"/>
      <c r="U48" s="4"/>
      <c r="V48" s="4"/>
      <c r="W48" s="4"/>
      <c r="X48" s="4"/>
      <c r="Y48" s="4"/>
      <c r="Z48" s="4"/>
    </row>
    <row r="49" spans="1:26" ht="45" customHeight="1">
      <c r="A49" s="17" t="str">
        <f>HYPERLINK("https://vimeo.com/121834063","Barbell Deadlift")</f>
        <v>Barbell Deadlift</v>
      </c>
      <c r="B49" s="11" t="s">
        <v>190</v>
      </c>
      <c r="C49" s="4"/>
      <c r="D49" s="4"/>
      <c r="E49" s="4"/>
      <c r="F49" s="4"/>
      <c r="G49" s="4"/>
      <c r="H49" s="4"/>
      <c r="I49" s="4"/>
      <c r="J49" s="4"/>
      <c r="K49" s="4"/>
      <c r="L49" s="4"/>
      <c r="M49" s="4"/>
      <c r="N49" s="4"/>
      <c r="O49" s="4"/>
      <c r="P49" s="4"/>
      <c r="Q49" s="4"/>
      <c r="R49" s="4"/>
      <c r="S49" s="4"/>
      <c r="T49" s="4"/>
      <c r="U49" s="4"/>
      <c r="V49" s="4"/>
      <c r="W49" s="4"/>
      <c r="X49" s="4"/>
      <c r="Y49" s="4"/>
      <c r="Z49" s="4"/>
    </row>
    <row r="50" spans="1:26" ht="45" customHeight="1">
      <c r="A50" s="17" t="str">
        <f>HYPERLINK("https://vimeo.com/121834065","Barbell Floor Press")</f>
        <v>Barbell Floor Press</v>
      </c>
      <c r="B50" s="11" t="s">
        <v>87</v>
      </c>
      <c r="C50" s="4"/>
      <c r="D50" s="4"/>
      <c r="E50" s="4"/>
      <c r="F50" s="4"/>
      <c r="G50" s="4"/>
      <c r="H50" s="4"/>
      <c r="I50" s="4"/>
      <c r="J50" s="4"/>
      <c r="K50" s="4"/>
      <c r="L50" s="4"/>
      <c r="M50" s="4"/>
      <c r="N50" s="4"/>
      <c r="O50" s="4"/>
      <c r="P50" s="4"/>
      <c r="Q50" s="4"/>
      <c r="R50" s="4"/>
      <c r="S50" s="4"/>
      <c r="T50" s="4"/>
      <c r="U50" s="4"/>
      <c r="V50" s="4"/>
      <c r="W50" s="4"/>
      <c r="X50" s="4"/>
      <c r="Y50" s="4"/>
      <c r="Z50" s="4"/>
    </row>
    <row r="51" spans="1:26" ht="45" customHeight="1">
      <c r="A51" s="17" t="str">
        <f>HYPERLINK("https://vimeo.com/121834068","Barbell Front Squat")</f>
        <v>Barbell Front Squat</v>
      </c>
      <c r="B51" s="11" t="s">
        <v>188</v>
      </c>
      <c r="C51" s="4"/>
      <c r="D51" s="4"/>
      <c r="E51" s="4"/>
      <c r="F51" s="4"/>
      <c r="G51" s="4"/>
      <c r="H51" s="4"/>
      <c r="I51" s="4"/>
      <c r="J51" s="4"/>
      <c r="K51" s="4"/>
      <c r="L51" s="4"/>
      <c r="M51" s="4"/>
      <c r="N51" s="4"/>
      <c r="O51" s="4"/>
      <c r="P51" s="4"/>
      <c r="Q51" s="4"/>
      <c r="R51" s="4"/>
      <c r="S51" s="4"/>
      <c r="T51" s="4"/>
      <c r="U51" s="4"/>
      <c r="V51" s="4"/>
      <c r="W51" s="4"/>
      <c r="X51" s="4"/>
      <c r="Y51" s="4"/>
      <c r="Z51" s="4"/>
    </row>
    <row r="52" spans="1:26" ht="45" customHeight="1">
      <c r="A52" s="17" t="str">
        <f>HYPERLINK("https://vimeo.com/121834071","Barbell Front Squat Iso")</f>
        <v>Barbell Front Squat Iso</v>
      </c>
      <c r="B52" s="11" t="s">
        <v>132</v>
      </c>
      <c r="C52" s="4"/>
      <c r="D52" s="4"/>
      <c r="E52" s="4"/>
      <c r="F52" s="4"/>
      <c r="G52" s="4"/>
      <c r="H52" s="4"/>
      <c r="I52" s="4"/>
      <c r="J52" s="4"/>
      <c r="K52" s="4"/>
      <c r="L52" s="4"/>
      <c r="M52" s="4"/>
      <c r="N52" s="4"/>
      <c r="O52" s="4"/>
      <c r="P52" s="4"/>
      <c r="Q52" s="4"/>
      <c r="R52" s="4"/>
      <c r="S52" s="4"/>
      <c r="T52" s="4"/>
      <c r="U52" s="4"/>
      <c r="V52" s="4"/>
      <c r="W52" s="4"/>
      <c r="X52" s="4"/>
      <c r="Y52" s="4"/>
      <c r="Z52" s="4"/>
    </row>
    <row r="53" spans="1:26" ht="45" customHeight="1">
      <c r="A53" s="17" t="str">
        <f>HYPERLINK("https://vimeo.com/121834075","Barbell Front Squat to Box")</f>
        <v>Barbell Front Squat to Box</v>
      </c>
      <c r="B53" s="11" t="s">
        <v>191</v>
      </c>
      <c r="C53" s="4"/>
      <c r="D53" s="4"/>
      <c r="E53" s="4"/>
      <c r="F53" s="4"/>
      <c r="G53" s="4"/>
      <c r="H53" s="4"/>
      <c r="I53" s="4"/>
      <c r="J53" s="4"/>
      <c r="K53" s="4"/>
      <c r="L53" s="4"/>
      <c r="M53" s="4"/>
      <c r="N53" s="4"/>
      <c r="O53" s="4"/>
      <c r="P53" s="4"/>
      <c r="Q53" s="4"/>
      <c r="R53" s="4"/>
      <c r="S53" s="4"/>
      <c r="T53" s="4"/>
      <c r="U53" s="4"/>
      <c r="V53" s="4"/>
      <c r="W53" s="4"/>
      <c r="X53" s="4"/>
      <c r="Y53" s="4"/>
      <c r="Z53" s="4"/>
    </row>
    <row r="54" spans="1:26" ht="45" customHeight="1">
      <c r="A54" s="17" t="str">
        <f>HYPERLINK("https://vimeo.com/121834949","Barbell Glute Bridge")</f>
        <v>Barbell Glute Bridge</v>
      </c>
      <c r="B54" s="11" t="s">
        <v>146</v>
      </c>
      <c r="C54" s="4"/>
      <c r="D54" s="4"/>
      <c r="E54" s="4"/>
      <c r="F54" s="4"/>
      <c r="G54" s="4"/>
      <c r="H54" s="4"/>
      <c r="I54" s="4"/>
      <c r="J54" s="4"/>
      <c r="K54" s="4"/>
      <c r="L54" s="4"/>
      <c r="M54" s="4"/>
      <c r="N54" s="4"/>
      <c r="O54" s="4"/>
      <c r="P54" s="4"/>
      <c r="Q54" s="4"/>
      <c r="R54" s="4"/>
      <c r="S54" s="4"/>
      <c r="T54" s="4"/>
      <c r="U54" s="4"/>
      <c r="V54" s="4"/>
      <c r="W54" s="4"/>
      <c r="X54" s="4"/>
      <c r="Y54" s="4"/>
      <c r="Z54" s="4"/>
    </row>
    <row r="55" spans="1:26" ht="45" customHeight="1">
      <c r="A55" s="17" t="str">
        <f>HYPERLINK("https://vimeo.com/121834950","Barbell Hip Thrust")</f>
        <v>Barbell Hip Thrust</v>
      </c>
      <c r="B55" s="11" t="s">
        <v>146</v>
      </c>
      <c r="C55" s="4"/>
      <c r="D55" s="4"/>
      <c r="E55" s="4"/>
      <c r="F55" s="4"/>
      <c r="G55" s="4"/>
      <c r="H55" s="4"/>
      <c r="I55" s="4"/>
      <c r="J55" s="4"/>
      <c r="K55" s="4"/>
      <c r="L55" s="4"/>
      <c r="M55" s="4"/>
      <c r="N55" s="4"/>
      <c r="O55" s="4"/>
      <c r="P55" s="4"/>
      <c r="Q55" s="4"/>
      <c r="R55" s="4"/>
      <c r="S55" s="4"/>
      <c r="T55" s="4"/>
      <c r="U55" s="4"/>
      <c r="V55" s="4"/>
      <c r="W55" s="4"/>
      <c r="X55" s="4"/>
      <c r="Y55" s="4"/>
      <c r="Z55" s="4"/>
    </row>
    <row r="56" spans="1:26" ht="45" customHeight="1">
      <c r="A56" s="17" t="str">
        <f>HYPERLINK("https://vimeo.com/121834951","Barbell Overhead Shrug")</f>
        <v>Barbell Overhead Shrug</v>
      </c>
      <c r="B56" s="11" t="s">
        <v>107</v>
      </c>
      <c r="C56" s="4"/>
      <c r="D56" s="4"/>
      <c r="E56" s="4"/>
      <c r="F56" s="4"/>
      <c r="G56" s="4"/>
      <c r="H56" s="4"/>
      <c r="I56" s="4"/>
      <c r="J56" s="4"/>
      <c r="K56" s="4"/>
      <c r="L56" s="4"/>
      <c r="M56" s="4"/>
      <c r="N56" s="4"/>
      <c r="O56" s="4"/>
      <c r="P56" s="4"/>
      <c r="Q56" s="4"/>
      <c r="R56" s="4"/>
      <c r="S56" s="4"/>
      <c r="T56" s="4"/>
      <c r="U56" s="4"/>
      <c r="V56" s="4"/>
      <c r="W56" s="4"/>
      <c r="X56" s="4"/>
      <c r="Y56" s="4"/>
      <c r="Z56" s="4"/>
    </row>
    <row r="57" spans="1:26" ht="45" customHeight="1">
      <c r="A57" s="17" t="str">
        <f>HYPERLINK("https://vimeo.com/121834953","Barbell Push Press")</f>
        <v>Barbell Push Press</v>
      </c>
      <c r="B57" s="11" t="s">
        <v>108</v>
      </c>
      <c r="C57" s="4"/>
      <c r="D57" s="4"/>
      <c r="E57" s="4"/>
      <c r="F57" s="4"/>
      <c r="G57" s="4"/>
      <c r="H57" s="4"/>
      <c r="I57" s="4"/>
      <c r="J57" s="4"/>
      <c r="K57" s="4"/>
      <c r="L57" s="4"/>
      <c r="M57" s="4"/>
      <c r="N57" s="4"/>
      <c r="O57" s="4"/>
      <c r="P57" s="4"/>
      <c r="Q57" s="4"/>
      <c r="R57" s="4"/>
      <c r="S57" s="4"/>
      <c r="T57" s="4"/>
      <c r="U57" s="4"/>
      <c r="V57" s="4"/>
      <c r="W57" s="4"/>
      <c r="X57" s="4"/>
      <c r="Y57" s="4"/>
      <c r="Z57" s="4"/>
    </row>
    <row r="58" spans="1:26" ht="45" customHeight="1">
      <c r="A58" s="17" t="str">
        <f>HYPERLINK("https://vimeo.com/121834956","Barbell Reverse Lunge")</f>
        <v>Barbell Reverse Lunge</v>
      </c>
      <c r="B58" s="11" t="s">
        <v>134</v>
      </c>
      <c r="C58" s="4"/>
      <c r="D58" s="4"/>
      <c r="E58" s="4"/>
      <c r="F58" s="4"/>
      <c r="G58" s="4"/>
      <c r="H58" s="4"/>
      <c r="I58" s="4"/>
      <c r="J58" s="4"/>
      <c r="K58" s="4"/>
      <c r="L58" s="4"/>
      <c r="M58" s="4"/>
      <c r="N58" s="4"/>
      <c r="O58" s="4"/>
      <c r="P58" s="4"/>
      <c r="Q58" s="4"/>
      <c r="R58" s="4"/>
      <c r="S58" s="4"/>
      <c r="T58" s="4"/>
      <c r="U58" s="4"/>
      <c r="V58" s="4"/>
      <c r="W58" s="4"/>
      <c r="X58" s="4"/>
      <c r="Y58" s="4"/>
      <c r="Z58" s="4"/>
    </row>
    <row r="59" spans="1:26" ht="45" customHeight="1">
      <c r="A59" s="17" t="str">
        <f>HYPERLINK("https://vimeo.com/121835356","Barbell Reverse Lunge With a Front Squat Grip")</f>
        <v>Barbell Reverse Lunge With a Front Squat Grip</v>
      </c>
      <c r="B59" s="11" t="s">
        <v>134</v>
      </c>
      <c r="C59" s="4"/>
      <c r="D59" s="4"/>
      <c r="E59" s="4"/>
      <c r="F59" s="4"/>
      <c r="G59" s="4"/>
      <c r="H59" s="4"/>
      <c r="I59" s="4"/>
      <c r="J59" s="4"/>
      <c r="K59" s="4"/>
      <c r="L59" s="4"/>
      <c r="M59" s="4"/>
      <c r="N59" s="4"/>
      <c r="O59" s="4"/>
      <c r="P59" s="4"/>
      <c r="Q59" s="4"/>
      <c r="R59" s="4"/>
      <c r="S59" s="4"/>
      <c r="T59" s="4"/>
      <c r="U59" s="4"/>
      <c r="V59" s="4"/>
      <c r="W59" s="4"/>
      <c r="X59" s="4"/>
      <c r="Y59" s="4"/>
      <c r="Z59" s="4"/>
    </row>
    <row r="60" spans="1:26" ht="45" customHeight="1">
      <c r="A60" s="17" t="str">
        <f>HYPERLINK("https://vimeo.com/121835357","Barbell Romanian Deadlift")</f>
        <v>Barbell Romanian Deadlift</v>
      </c>
      <c r="B60" s="11" t="s">
        <v>187</v>
      </c>
      <c r="C60" s="4"/>
      <c r="D60" s="4"/>
      <c r="E60" s="4"/>
      <c r="F60" s="4"/>
      <c r="G60" s="4"/>
      <c r="H60" s="4"/>
      <c r="I60" s="4"/>
      <c r="J60" s="4"/>
      <c r="K60" s="4"/>
      <c r="L60" s="4"/>
      <c r="M60" s="4"/>
      <c r="N60" s="4"/>
      <c r="O60" s="4"/>
      <c r="P60" s="4"/>
      <c r="Q60" s="4"/>
      <c r="R60" s="4"/>
      <c r="S60" s="4"/>
      <c r="T60" s="4"/>
      <c r="U60" s="4"/>
      <c r="V60" s="4"/>
      <c r="W60" s="4"/>
      <c r="X60" s="4"/>
      <c r="Y60" s="4"/>
      <c r="Z60" s="4"/>
    </row>
    <row r="61" spans="1:26" ht="45" customHeight="1">
      <c r="A61" s="17" t="str">
        <f>HYPERLINK("https://vimeo.com/121835358","Barbell Slideboard Reverse Lunge")</f>
        <v>Barbell Slideboard Reverse Lunge</v>
      </c>
      <c r="B61" s="11" t="s">
        <v>134</v>
      </c>
      <c r="C61" s="4"/>
      <c r="D61" s="4"/>
      <c r="E61" s="4"/>
      <c r="F61" s="4"/>
      <c r="G61" s="4"/>
      <c r="H61" s="4"/>
      <c r="I61" s="4"/>
      <c r="J61" s="4"/>
      <c r="K61" s="4"/>
      <c r="L61" s="4"/>
      <c r="M61" s="4"/>
      <c r="N61" s="4"/>
      <c r="O61" s="4"/>
      <c r="P61" s="4"/>
      <c r="Q61" s="4"/>
      <c r="R61" s="4"/>
      <c r="S61" s="4"/>
      <c r="T61" s="4"/>
      <c r="U61" s="4"/>
      <c r="V61" s="4"/>
      <c r="W61" s="4"/>
      <c r="X61" s="4"/>
      <c r="Y61" s="4"/>
      <c r="Z61" s="4"/>
    </row>
    <row r="62" spans="1:26" ht="45" customHeight="1">
      <c r="A62" s="17" t="str">
        <f>HYPERLINK("https://vimeo.com/121835359","Barbell Split Squat")</f>
        <v>Barbell Split Squat</v>
      </c>
      <c r="B62" s="11" t="s">
        <v>136</v>
      </c>
      <c r="C62" s="4"/>
      <c r="D62" s="4"/>
      <c r="E62" s="4"/>
      <c r="F62" s="4"/>
      <c r="G62" s="4"/>
      <c r="H62" s="4"/>
      <c r="I62" s="4"/>
      <c r="J62" s="4"/>
      <c r="K62" s="4"/>
      <c r="L62" s="4"/>
      <c r="M62" s="4"/>
      <c r="N62" s="4"/>
      <c r="O62" s="4"/>
      <c r="P62" s="4"/>
      <c r="Q62" s="4"/>
      <c r="R62" s="4"/>
      <c r="S62" s="4"/>
      <c r="T62" s="4"/>
      <c r="U62" s="4"/>
      <c r="V62" s="4"/>
      <c r="W62" s="4"/>
      <c r="X62" s="4"/>
      <c r="Y62" s="4"/>
      <c r="Z62" s="4"/>
    </row>
    <row r="63" spans="1:26" ht="45" customHeight="1">
      <c r="A63" s="17" t="str">
        <f>HYPERLINK("https://vimeo.com/121835360","Barbell Sumo Deadlift")</f>
        <v>Barbell Sumo Deadlift</v>
      </c>
      <c r="B63" s="11" t="s">
        <v>192</v>
      </c>
      <c r="C63" s="4"/>
      <c r="D63" s="4"/>
      <c r="E63" s="4"/>
      <c r="F63" s="4"/>
      <c r="G63" s="4"/>
      <c r="H63" s="4"/>
      <c r="I63" s="4"/>
      <c r="J63" s="4"/>
      <c r="K63" s="4"/>
      <c r="L63" s="4"/>
      <c r="M63" s="4"/>
      <c r="N63" s="4"/>
      <c r="O63" s="4"/>
      <c r="P63" s="4"/>
      <c r="Q63" s="4"/>
      <c r="R63" s="4"/>
      <c r="S63" s="4"/>
      <c r="T63" s="4"/>
      <c r="U63" s="4"/>
      <c r="V63" s="4"/>
      <c r="W63" s="4"/>
      <c r="X63" s="4"/>
      <c r="Y63" s="4"/>
      <c r="Z63" s="4"/>
    </row>
    <row r="64" spans="1:26" ht="45" customHeight="1">
      <c r="A64" s="17" t="str">
        <f>HYPERLINK("https://vimeo.com/121835942","Bear Crawl")</f>
        <v>Bear Crawl</v>
      </c>
      <c r="B64" s="11" t="s">
        <v>193</v>
      </c>
      <c r="C64" s="4"/>
      <c r="D64" s="4"/>
      <c r="E64" s="4"/>
      <c r="F64" s="4"/>
      <c r="G64" s="4"/>
      <c r="H64" s="4"/>
      <c r="I64" s="4"/>
      <c r="J64" s="4"/>
      <c r="K64" s="4"/>
      <c r="L64" s="4"/>
      <c r="M64" s="4"/>
      <c r="N64" s="4"/>
      <c r="O64" s="4"/>
      <c r="P64" s="4"/>
      <c r="Q64" s="4"/>
      <c r="R64" s="4"/>
      <c r="S64" s="4"/>
      <c r="T64" s="4"/>
      <c r="U64" s="4"/>
      <c r="V64" s="4"/>
      <c r="W64" s="4"/>
      <c r="X64" s="4"/>
      <c r="Y64" s="4"/>
      <c r="Z64" s="4"/>
    </row>
    <row r="65" spans="1:26" ht="45" customHeight="1">
      <c r="A65" s="17" t="str">
        <f>HYPERLINK("https://vimeo.com/121835944","Bent-Over Dumbbell Row")</f>
        <v>Bent-Over Dumbbell Row</v>
      </c>
      <c r="B65" s="4" t="s">
        <v>112</v>
      </c>
      <c r="C65" s="4"/>
      <c r="D65" s="4"/>
      <c r="E65" s="4"/>
      <c r="F65" s="4"/>
      <c r="G65" s="4"/>
      <c r="H65" s="4"/>
      <c r="I65" s="4"/>
      <c r="J65" s="4"/>
      <c r="K65" s="4"/>
      <c r="L65" s="4"/>
      <c r="M65" s="4"/>
      <c r="N65" s="4"/>
      <c r="O65" s="4"/>
      <c r="P65" s="4"/>
      <c r="Q65" s="4"/>
      <c r="R65" s="4"/>
      <c r="S65" s="4"/>
      <c r="T65" s="4"/>
      <c r="U65" s="4"/>
      <c r="V65" s="4"/>
      <c r="W65" s="4"/>
      <c r="X65" s="4"/>
      <c r="Y65" s="4"/>
      <c r="Z65" s="4"/>
    </row>
    <row r="66" spans="1:26" ht="45" customHeight="1">
      <c r="A66" s="17" t="str">
        <f>HYPERLINK("https://vimeo.com/121835945","Bird Dog")</f>
        <v>Bird Dog</v>
      </c>
      <c r="B66" s="11" t="s">
        <v>14</v>
      </c>
      <c r="C66" s="4"/>
      <c r="D66" s="4"/>
      <c r="E66" s="4"/>
      <c r="F66" s="4"/>
      <c r="G66" s="4"/>
      <c r="H66" s="4"/>
      <c r="I66" s="4"/>
      <c r="J66" s="4"/>
      <c r="K66" s="4"/>
      <c r="L66" s="4"/>
      <c r="M66" s="4"/>
      <c r="N66" s="4"/>
      <c r="O66" s="4"/>
      <c r="P66" s="4"/>
      <c r="Q66" s="4"/>
      <c r="R66" s="4"/>
      <c r="S66" s="4"/>
      <c r="T66" s="4"/>
      <c r="U66" s="4"/>
      <c r="V66" s="4"/>
      <c r="W66" s="4"/>
      <c r="X66" s="4"/>
      <c r="Y66" s="4"/>
      <c r="Z66" s="4"/>
    </row>
    <row r="67" spans="1:26" ht="45" customHeight="1">
      <c r="A67" s="17" t="str">
        <f>HYPERLINK("https://vimeo.com/121835947","Bodyweight Cross-Over Step-Up")</f>
        <v>Bodyweight Cross-Over Step-Up</v>
      </c>
      <c r="B67" s="4" t="s">
        <v>145</v>
      </c>
      <c r="C67" s="4"/>
      <c r="D67" s="4"/>
      <c r="E67" s="4"/>
      <c r="F67" s="4"/>
      <c r="G67" s="4"/>
      <c r="H67" s="4"/>
      <c r="I67" s="4"/>
      <c r="J67" s="4"/>
      <c r="K67" s="4"/>
      <c r="L67" s="4"/>
      <c r="M67" s="4"/>
      <c r="N67" s="4"/>
      <c r="O67" s="4"/>
      <c r="P67" s="4"/>
      <c r="Q67" s="4"/>
      <c r="R67" s="4"/>
      <c r="S67" s="4"/>
      <c r="T67" s="4"/>
      <c r="U67" s="4"/>
      <c r="V67" s="4"/>
      <c r="W67" s="4"/>
      <c r="X67" s="4"/>
      <c r="Y67" s="4"/>
      <c r="Z67" s="4"/>
    </row>
    <row r="68" spans="1:26" ht="45" customHeight="1">
      <c r="A68" s="17" t="str">
        <f>HYPERLINK("https://vimeo.com/121835948","Bodyweight Get-Up")</f>
        <v>Bodyweight Get-Up</v>
      </c>
      <c r="B68" s="11" t="s">
        <v>70</v>
      </c>
      <c r="C68" s="4"/>
      <c r="D68" s="4"/>
      <c r="E68" s="4"/>
      <c r="F68" s="4"/>
      <c r="G68" s="4"/>
      <c r="H68" s="4"/>
      <c r="I68" s="4"/>
      <c r="J68" s="4"/>
      <c r="K68" s="4"/>
      <c r="L68" s="4"/>
      <c r="M68" s="4"/>
      <c r="N68" s="4"/>
      <c r="O68" s="4"/>
      <c r="P68" s="4"/>
      <c r="Q68" s="4"/>
      <c r="R68" s="4"/>
      <c r="S68" s="4"/>
      <c r="T68" s="4"/>
      <c r="U68" s="4"/>
      <c r="V68" s="4"/>
      <c r="W68" s="4"/>
      <c r="X68" s="4"/>
      <c r="Y68" s="4"/>
      <c r="Z68" s="4"/>
    </row>
    <row r="69" spans="1:26" ht="45" customHeight="1">
      <c r="A69" s="17" t="str">
        <f>HYPERLINK("https://vimeo.com/121836542","Bodyweight Lateral Lunge With Assistance")</f>
        <v>Bodyweight Lateral Lunge With Assistance</v>
      </c>
      <c r="B69" s="4" t="s">
        <v>126</v>
      </c>
      <c r="C69" s="4"/>
      <c r="D69" s="4"/>
      <c r="E69" s="4"/>
      <c r="F69" s="4"/>
      <c r="G69" s="4"/>
      <c r="H69" s="4"/>
      <c r="I69" s="4"/>
      <c r="J69" s="4"/>
      <c r="K69" s="4"/>
      <c r="L69" s="4"/>
      <c r="M69" s="4"/>
      <c r="N69" s="4"/>
      <c r="O69" s="4"/>
      <c r="P69" s="4"/>
      <c r="Q69" s="4"/>
      <c r="R69" s="4"/>
      <c r="S69" s="4"/>
      <c r="T69" s="4"/>
      <c r="U69" s="4"/>
      <c r="V69" s="4"/>
      <c r="W69" s="4"/>
      <c r="X69" s="4"/>
      <c r="Y69" s="4"/>
      <c r="Z69" s="4"/>
    </row>
    <row r="70" spans="1:26" ht="45" customHeight="1">
      <c r="A70" s="17" t="str">
        <f>HYPERLINK("https://vimeo.com/121836544","Bodyweight Lateral Squat")</f>
        <v>Bodyweight Lateral Squat</v>
      </c>
      <c r="B70" s="4" t="s">
        <v>126</v>
      </c>
      <c r="C70" s="4"/>
      <c r="D70" s="4"/>
      <c r="E70" s="4"/>
      <c r="F70" s="4"/>
      <c r="G70" s="4"/>
      <c r="H70" s="4"/>
      <c r="I70" s="4"/>
      <c r="J70" s="4"/>
      <c r="K70" s="4"/>
      <c r="L70" s="4"/>
      <c r="M70" s="4"/>
      <c r="N70" s="4"/>
      <c r="O70" s="4"/>
      <c r="P70" s="4"/>
      <c r="Q70" s="4"/>
      <c r="R70" s="4"/>
      <c r="S70" s="4"/>
      <c r="T70" s="4"/>
      <c r="U70" s="4"/>
      <c r="V70" s="4"/>
      <c r="W70" s="4"/>
      <c r="X70" s="4"/>
      <c r="Y70" s="4"/>
      <c r="Z70" s="4"/>
    </row>
    <row r="71" spans="1:26" ht="45" customHeight="1">
      <c r="A71" s="17" t="str">
        <f>HYPERLINK("https://vimeo.com/121836545","Bodyweight Reverse Lunge With Blocked Knee")</f>
        <v>Bodyweight Reverse Lunge With Blocked Knee</v>
      </c>
      <c r="B71" s="11" t="s">
        <v>135</v>
      </c>
      <c r="C71" s="4"/>
      <c r="D71" s="4"/>
      <c r="E71" s="4"/>
      <c r="F71" s="4"/>
      <c r="G71" s="4"/>
      <c r="H71" s="4"/>
      <c r="I71" s="4"/>
      <c r="J71" s="4"/>
      <c r="K71" s="4"/>
      <c r="L71" s="4"/>
      <c r="M71" s="4"/>
      <c r="N71" s="4"/>
      <c r="O71" s="4"/>
      <c r="P71" s="4"/>
      <c r="Q71" s="4"/>
      <c r="R71" s="4"/>
      <c r="S71" s="4"/>
      <c r="T71" s="4"/>
      <c r="U71" s="4"/>
      <c r="V71" s="4"/>
      <c r="W71" s="4"/>
      <c r="X71" s="4"/>
      <c r="Y71" s="4"/>
      <c r="Z71" s="4"/>
    </row>
    <row r="72" spans="1:26" ht="45" customHeight="1">
      <c r="A72" s="17" t="str">
        <f>HYPERLINK("https://vimeo.com/121836548","Bodyweight Split Squat With Blocked Knee")</f>
        <v>Bodyweight Split Squat With Blocked Knee</v>
      </c>
      <c r="B72" s="11" t="s">
        <v>134</v>
      </c>
      <c r="C72" s="4"/>
      <c r="D72" s="4"/>
      <c r="E72" s="4"/>
      <c r="F72" s="4"/>
      <c r="G72" s="4"/>
      <c r="H72" s="4"/>
      <c r="I72" s="4"/>
      <c r="J72" s="4"/>
      <c r="K72" s="4"/>
      <c r="L72" s="4"/>
      <c r="M72" s="4"/>
      <c r="N72" s="4"/>
      <c r="O72" s="4"/>
      <c r="P72" s="4"/>
      <c r="Q72" s="4"/>
      <c r="R72" s="4"/>
      <c r="S72" s="4"/>
      <c r="T72" s="4"/>
      <c r="U72" s="4"/>
      <c r="V72" s="4"/>
      <c r="W72" s="4"/>
      <c r="X72" s="4"/>
      <c r="Y72" s="4"/>
      <c r="Z72" s="4"/>
    </row>
    <row r="73" spans="1:26" ht="45" customHeight="1">
      <c r="A73" s="17" t="str">
        <f>HYPERLINK("https://vimeo.com/121836549","Bodyweight Squat Thrust")</f>
        <v>Bodyweight Squat Thrust</v>
      </c>
      <c r="B73" s="11" t="s">
        <v>178</v>
      </c>
      <c r="C73" s="4"/>
      <c r="D73" s="4"/>
      <c r="E73" s="4"/>
      <c r="F73" s="4"/>
      <c r="G73" s="4"/>
      <c r="H73" s="4"/>
      <c r="I73" s="4"/>
      <c r="J73" s="4"/>
      <c r="K73" s="4"/>
      <c r="L73" s="4"/>
      <c r="M73" s="4"/>
      <c r="N73" s="4"/>
      <c r="O73" s="4"/>
      <c r="P73" s="4"/>
      <c r="Q73" s="4"/>
      <c r="R73" s="4"/>
      <c r="S73" s="4"/>
      <c r="T73" s="4"/>
      <c r="U73" s="4"/>
      <c r="V73" s="4"/>
      <c r="W73" s="4"/>
      <c r="X73" s="4"/>
      <c r="Y73" s="4"/>
      <c r="Z73" s="4"/>
    </row>
    <row r="74" spans="1:26" ht="45" customHeight="1">
      <c r="A74" s="17" t="str">
        <f>HYPERLINK("https://vimeo.com/121836999","Bodyweight Squat to Box")</f>
        <v>Bodyweight Squat to Box</v>
      </c>
      <c r="B74" s="4" t="s">
        <v>127</v>
      </c>
      <c r="C74" s="4"/>
      <c r="D74" s="4"/>
      <c r="E74" s="4"/>
      <c r="F74" s="4"/>
      <c r="G74" s="4"/>
      <c r="H74" s="4"/>
      <c r="I74" s="4"/>
      <c r="J74" s="4"/>
      <c r="K74" s="4"/>
      <c r="L74" s="4"/>
      <c r="M74" s="4"/>
      <c r="N74" s="4"/>
      <c r="O74" s="4"/>
      <c r="P74" s="4"/>
      <c r="Q74" s="4"/>
      <c r="R74" s="4"/>
      <c r="S74" s="4"/>
      <c r="T74" s="4"/>
      <c r="U74" s="4"/>
      <c r="V74" s="4"/>
      <c r="W74" s="4"/>
      <c r="X74" s="4"/>
      <c r="Y74" s="4"/>
      <c r="Z74" s="4"/>
    </row>
    <row r="75" spans="1:26" ht="45" customHeight="1">
      <c r="A75" s="17" t="str">
        <f>HYPERLINK("https://vimeo.com/121837001","Bodyweight Step-Up")</f>
        <v>Bodyweight Step-Up</v>
      </c>
      <c r="B75" s="4" t="s">
        <v>142</v>
      </c>
      <c r="C75" s="4"/>
      <c r="D75" s="4"/>
      <c r="E75" s="4"/>
      <c r="F75" s="4"/>
      <c r="G75" s="4"/>
      <c r="H75" s="4"/>
      <c r="I75" s="4"/>
      <c r="J75" s="4"/>
      <c r="K75" s="4"/>
      <c r="L75" s="4"/>
      <c r="M75" s="4"/>
      <c r="N75" s="4"/>
      <c r="O75" s="4"/>
      <c r="P75" s="4"/>
      <c r="Q75" s="4"/>
      <c r="R75" s="4"/>
      <c r="S75" s="4"/>
      <c r="T75" s="4"/>
      <c r="U75" s="4"/>
      <c r="V75" s="4"/>
      <c r="W75" s="4"/>
      <c r="X75" s="4"/>
      <c r="Y75" s="4"/>
      <c r="Z75" s="4"/>
    </row>
    <row r="76" spans="1:26" ht="45" customHeight="1">
      <c r="A76" s="17" t="str">
        <f>HYPERLINK("https://vimeo.com/121837003","Bowler Squat")</f>
        <v>Bowler Squat</v>
      </c>
      <c r="B76" s="11" t="s">
        <v>31</v>
      </c>
      <c r="C76" s="4"/>
      <c r="D76" s="4"/>
      <c r="E76" s="4"/>
      <c r="F76" s="4"/>
      <c r="G76" s="4"/>
      <c r="H76" s="4"/>
      <c r="I76" s="4"/>
      <c r="J76" s="4"/>
      <c r="K76" s="4"/>
      <c r="L76" s="4"/>
      <c r="M76" s="4"/>
      <c r="N76" s="4"/>
      <c r="O76" s="4"/>
      <c r="P76" s="4"/>
      <c r="Q76" s="4"/>
      <c r="R76" s="4"/>
      <c r="S76" s="4"/>
      <c r="T76" s="4"/>
      <c r="U76" s="4"/>
      <c r="V76" s="4"/>
      <c r="W76" s="4"/>
      <c r="X76" s="4"/>
      <c r="Y76" s="4"/>
      <c r="Z76" s="4"/>
    </row>
    <row r="77" spans="1:26" ht="45" customHeight="1">
      <c r="A77" s="17" t="str">
        <f>HYPERLINK("https://vimeo.com/121837004","Brady Band Series")</f>
        <v>Brady Band Series</v>
      </c>
      <c r="B77" s="11" t="s">
        <v>164</v>
      </c>
      <c r="C77" s="4"/>
      <c r="D77" s="4"/>
      <c r="E77" s="4"/>
      <c r="F77" s="4"/>
      <c r="G77" s="4"/>
      <c r="H77" s="4"/>
      <c r="I77" s="4"/>
      <c r="J77" s="4"/>
      <c r="K77" s="4"/>
      <c r="L77" s="4"/>
      <c r="M77" s="4"/>
      <c r="N77" s="4"/>
      <c r="O77" s="4"/>
      <c r="P77" s="4"/>
      <c r="Q77" s="4"/>
      <c r="R77" s="4"/>
      <c r="S77" s="4"/>
      <c r="T77" s="4"/>
      <c r="U77" s="4"/>
      <c r="V77" s="4"/>
      <c r="W77" s="4"/>
      <c r="X77" s="4"/>
      <c r="Y77" s="4"/>
      <c r="Z77" s="4"/>
    </row>
    <row r="78" spans="1:26" ht="45" customHeight="1">
      <c r="A78" s="17" t="str">
        <f>HYPERLINK("https://vimeo.com/121837005","Brady Band Series - Without Band")</f>
        <v>Brady Band Series - Without Band</v>
      </c>
      <c r="B78" s="11" t="s">
        <v>164</v>
      </c>
      <c r="C78" s="4"/>
      <c r="D78" s="4"/>
      <c r="E78" s="4"/>
      <c r="F78" s="4"/>
      <c r="G78" s="4"/>
      <c r="H78" s="4"/>
      <c r="I78" s="4"/>
      <c r="J78" s="4"/>
      <c r="K78" s="4"/>
      <c r="L78" s="4"/>
      <c r="M78" s="4"/>
      <c r="N78" s="4"/>
      <c r="O78" s="4"/>
      <c r="P78" s="4"/>
      <c r="Q78" s="4"/>
      <c r="R78" s="4"/>
      <c r="S78" s="4"/>
      <c r="T78" s="4"/>
      <c r="U78" s="4"/>
      <c r="V78" s="4"/>
      <c r="W78" s="4"/>
      <c r="X78" s="4"/>
      <c r="Y78" s="4"/>
      <c r="Z78" s="4"/>
    </row>
    <row r="79" spans="1:26" ht="45" customHeight="1">
      <c r="A79" s="17" t="str">
        <f>HYPERLINK("https://vimeo.com/121837274","Burpee")</f>
        <v>Burpee</v>
      </c>
      <c r="B79" s="11" t="s">
        <v>181</v>
      </c>
      <c r="C79" s="4"/>
      <c r="D79" s="4"/>
      <c r="E79" s="4"/>
      <c r="F79" s="4"/>
      <c r="G79" s="4"/>
      <c r="H79" s="4"/>
      <c r="I79" s="4"/>
      <c r="J79" s="4"/>
      <c r="K79" s="4"/>
      <c r="L79" s="4"/>
      <c r="M79" s="4"/>
      <c r="N79" s="4"/>
      <c r="O79" s="4"/>
      <c r="P79" s="4"/>
      <c r="Q79" s="4"/>
      <c r="R79" s="4"/>
      <c r="S79" s="4"/>
      <c r="T79" s="4"/>
      <c r="U79" s="4"/>
      <c r="V79" s="4"/>
      <c r="W79" s="4"/>
      <c r="X79" s="4"/>
      <c r="Y79" s="4"/>
      <c r="Z79" s="4"/>
    </row>
    <row r="80" spans="1:26" ht="45" customHeight="1">
      <c r="A80" s="17" t="str">
        <f>HYPERLINK("https://vimeo.com/121837276","Burpee Without Pushup")</f>
        <v>Burpee Without Pushup</v>
      </c>
      <c r="B80" s="11" t="s">
        <v>179</v>
      </c>
      <c r="C80" s="4"/>
      <c r="D80" s="4"/>
      <c r="E80" s="4"/>
      <c r="F80" s="4"/>
      <c r="G80" s="4"/>
      <c r="H80" s="4"/>
      <c r="I80" s="4"/>
      <c r="J80" s="4"/>
      <c r="K80" s="4"/>
      <c r="L80" s="4"/>
      <c r="M80" s="4"/>
      <c r="N80" s="4"/>
      <c r="O80" s="4"/>
      <c r="P80" s="4"/>
      <c r="Q80" s="4"/>
      <c r="R80" s="4"/>
      <c r="S80" s="4"/>
      <c r="T80" s="4"/>
      <c r="U80" s="4"/>
      <c r="V80" s="4"/>
      <c r="W80" s="4"/>
      <c r="X80" s="4"/>
      <c r="Y80" s="4"/>
      <c r="Z80" s="4"/>
    </row>
    <row r="81" spans="1:26" ht="45" customHeight="1">
      <c r="A81" s="17" t="str">
        <f>HYPERLINK("https://vimeo.com/121837279","Cable External Rotation at 30 Degrees Abduction")</f>
        <v>Cable External Rotation at 30 Degrees Abduction</v>
      </c>
      <c r="B81" s="11" t="s">
        <v>172</v>
      </c>
      <c r="C81" s="4"/>
      <c r="D81" s="4"/>
      <c r="E81" s="4"/>
      <c r="F81" s="4"/>
      <c r="G81" s="4"/>
      <c r="H81" s="4"/>
      <c r="I81" s="4"/>
      <c r="J81" s="4"/>
      <c r="K81" s="4"/>
      <c r="L81" s="4"/>
      <c r="M81" s="4"/>
      <c r="N81" s="4"/>
      <c r="O81" s="4"/>
      <c r="P81" s="4"/>
      <c r="Q81" s="4"/>
      <c r="R81" s="4"/>
      <c r="S81" s="4"/>
      <c r="T81" s="4"/>
      <c r="U81" s="4"/>
      <c r="V81" s="4"/>
      <c r="W81" s="4"/>
      <c r="X81" s="4"/>
      <c r="Y81" s="4"/>
      <c r="Z81" s="4"/>
    </row>
    <row r="82" spans="1:26" ht="45" customHeight="1">
      <c r="A82" s="17" t="str">
        <f>HYPERLINK("https://vimeo.com/121837281","Cable External Rotation at 90 Degrees Abduction")</f>
        <v>Cable External Rotation at 90 Degrees Abduction</v>
      </c>
      <c r="B82" s="11" t="s">
        <v>172</v>
      </c>
      <c r="C82" s="4"/>
      <c r="D82" s="4"/>
      <c r="E82" s="4"/>
      <c r="F82" s="4"/>
      <c r="G82" s="4"/>
      <c r="H82" s="4"/>
      <c r="I82" s="4"/>
      <c r="J82" s="4"/>
      <c r="K82" s="4"/>
      <c r="L82" s="4"/>
      <c r="M82" s="4"/>
      <c r="N82" s="4"/>
      <c r="O82" s="4"/>
      <c r="P82" s="4"/>
      <c r="Q82" s="4"/>
      <c r="R82" s="4"/>
      <c r="S82" s="4"/>
      <c r="T82" s="4"/>
      <c r="U82" s="4"/>
      <c r="V82" s="4"/>
      <c r="W82" s="4"/>
      <c r="X82" s="4"/>
      <c r="Y82" s="4"/>
      <c r="Z82" s="4"/>
    </row>
    <row r="83" spans="1:26" ht="45" customHeight="1">
      <c r="A83" s="17" t="str">
        <f>HYPERLINK("https://vimeo.com/121837283","Cable External Rotation on Knee")</f>
        <v>Cable External Rotation on Knee</v>
      </c>
      <c r="B83" s="11" t="s">
        <v>172</v>
      </c>
      <c r="C83" s="4"/>
      <c r="D83" s="4"/>
      <c r="E83" s="4"/>
      <c r="F83" s="4"/>
      <c r="G83" s="4"/>
      <c r="H83" s="4"/>
      <c r="I83" s="4"/>
      <c r="J83" s="4"/>
      <c r="K83" s="4"/>
      <c r="L83" s="4"/>
      <c r="M83" s="4"/>
      <c r="N83" s="4"/>
      <c r="O83" s="4"/>
      <c r="P83" s="4"/>
      <c r="Q83" s="4"/>
      <c r="R83" s="4"/>
      <c r="S83" s="4"/>
      <c r="T83" s="4"/>
      <c r="U83" s="4"/>
      <c r="V83" s="4"/>
      <c r="W83" s="4"/>
      <c r="X83" s="4"/>
      <c r="Y83" s="4"/>
      <c r="Z83" s="4"/>
    </row>
    <row r="84" spans="1:26" ht="45" customHeight="1">
      <c r="A84" s="17" t="str">
        <f>HYPERLINK("https://vimeo.com/121849806","Cable Pull-Down")</f>
        <v>Cable Pull-Down</v>
      </c>
      <c r="B84" s="11" t="s">
        <v>121</v>
      </c>
      <c r="C84" s="4"/>
      <c r="D84" s="4"/>
      <c r="E84" s="4"/>
      <c r="F84" s="4"/>
      <c r="G84" s="4"/>
      <c r="H84" s="4"/>
      <c r="I84" s="4"/>
      <c r="J84" s="4"/>
      <c r="K84" s="4"/>
      <c r="L84" s="4"/>
      <c r="M84" s="4"/>
      <c r="N84" s="4"/>
      <c r="O84" s="4"/>
      <c r="P84" s="4"/>
      <c r="Q84" s="4"/>
      <c r="R84" s="4"/>
      <c r="S84" s="4"/>
      <c r="T84" s="4"/>
      <c r="U84" s="4"/>
      <c r="V84" s="4"/>
      <c r="W84" s="4"/>
      <c r="X84" s="4"/>
      <c r="Y84" s="4"/>
      <c r="Z84" s="4"/>
    </row>
    <row r="85" spans="1:26" ht="45" customHeight="1">
      <c r="A85" s="17" t="str">
        <f>HYPERLINK("https://vimeo.com/121849807","Chest-Supported Dumbbell Row")</f>
        <v>Chest-Supported Dumbbell Row</v>
      </c>
      <c r="B85" s="4" t="s">
        <v>194</v>
      </c>
      <c r="C85" s="4"/>
      <c r="D85" s="4"/>
      <c r="E85" s="4"/>
      <c r="F85" s="4"/>
      <c r="G85" s="4"/>
      <c r="H85" s="4"/>
      <c r="I85" s="4"/>
      <c r="J85" s="4"/>
      <c r="K85" s="4"/>
      <c r="L85" s="4"/>
      <c r="M85" s="4"/>
      <c r="N85" s="4"/>
      <c r="O85" s="4"/>
      <c r="P85" s="4"/>
      <c r="Q85" s="4"/>
      <c r="R85" s="4"/>
      <c r="S85" s="4"/>
      <c r="T85" s="4"/>
      <c r="U85" s="4"/>
      <c r="V85" s="4"/>
      <c r="W85" s="4"/>
      <c r="X85" s="4"/>
      <c r="Y85" s="4"/>
      <c r="Z85" s="4"/>
    </row>
    <row r="86" spans="1:26" ht="45" customHeight="1">
      <c r="A86" s="17" t="str">
        <f>HYPERLINK("https://vimeo.com/121849810","Chest-Supported Dumbbell Row Iso")</f>
        <v>Chest-Supported Dumbbell Row Iso</v>
      </c>
      <c r="B86" s="4" t="s">
        <v>194</v>
      </c>
      <c r="C86" s="4"/>
      <c r="D86" s="4"/>
      <c r="E86" s="4"/>
      <c r="F86" s="4"/>
      <c r="G86" s="4"/>
      <c r="H86" s="4"/>
      <c r="I86" s="4"/>
      <c r="J86" s="4"/>
      <c r="K86" s="4"/>
      <c r="L86" s="4"/>
      <c r="M86" s="4"/>
      <c r="N86" s="4"/>
      <c r="O86" s="4"/>
      <c r="P86" s="4"/>
      <c r="Q86" s="4"/>
      <c r="R86" s="4"/>
      <c r="S86" s="4"/>
      <c r="T86" s="4"/>
      <c r="U86" s="4"/>
      <c r="V86" s="4"/>
      <c r="W86" s="4"/>
      <c r="X86" s="4"/>
      <c r="Y86" s="4"/>
      <c r="Z86" s="4"/>
    </row>
    <row r="87" spans="1:26" ht="45" customHeight="1">
      <c r="A87" s="17" t="str">
        <f>HYPERLINK("https://vimeo.com/121849809","Chin-Up")</f>
        <v>Chin-Up</v>
      </c>
      <c r="B87" s="11" t="s">
        <v>121</v>
      </c>
      <c r="C87" s="4"/>
      <c r="D87" s="4"/>
      <c r="E87" s="4"/>
      <c r="F87" s="4"/>
      <c r="G87" s="4"/>
      <c r="H87" s="4"/>
      <c r="I87" s="4"/>
      <c r="J87" s="4"/>
      <c r="K87" s="4"/>
      <c r="L87" s="4"/>
      <c r="M87" s="4"/>
      <c r="N87" s="4"/>
      <c r="O87" s="4"/>
      <c r="P87" s="4"/>
      <c r="Q87" s="4"/>
      <c r="R87" s="4"/>
      <c r="S87" s="4"/>
      <c r="T87" s="4"/>
      <c r="U87" s="4"/>
      <c r="V87" s="4"/>
      <c r="W87" s="4"/>
      <c r="X87" s="4"/>
      <c r="Y87" s="4"/>
      <c r="Z87" s="4"/>
    </row>
    <row r="88" spans="1:26" ht="45" customHeight="1">
      <c r="A88" s="17" t="str">
        <f>HYPERLINK("https://vimeo.com/121849811","Close-Grip Barbell Bench Press")</f>
        <v>Close-Grip Barbell Bench Press</v>
      </c>
      <c r="B88" s="11" t="s">
        <v>86</v>
      </c>
      <c r="C88" s="4"/>
      <c r="D88" s="4"/>
      <c r="E88" s="4"/>
      <c r="F88" s="4"/>
      <c r="G88" s="4"/>
      <c r="H88" s="4"/>
      <c r="I88" s="4"/>
      <c r="J88" s="4"/>
      <c r="K88" s="4"/>
      <c r="L88" s="4"/>
      <c r="M88" s="4"/>
      <c r="N88" s="4"/>
      <c r="O88" s="4"/>
      <c r="P88" s="4"/>
      <c r="Q88" s="4"/>
      <c r="R88" s="4"/>
      <c r="S88" s="4"/>
      <c r="T88" s="4"/>
      <c r="U88" s="4"/>
      <c r="V88" s="4"/>
      <c r="W88" s="4"/>
      <c r="X88" s="4"/>
      <c r="Y88" s="4"/>
      <c r="Z88" s="4"/>
    </row>
    <row r="89" spans="1:26" ht="45" customHeight="1">
      <c r="A89" s="17" t="str">
        <f>HYPERLINK("https://vimeo.com/121850311","Close-Grip Pushup")</f>
        <v>Close-Grip Pushup</v>
      </c>
      <c r="B89" s="11" t="s">
        <v>89</v>
      </c>
      <c r="C89" s="4"/>
      <c r="D89" s="4"/>
      <c r="E89" s="4"/>
      <c r="F89" s="4"/>
      <c r="G89" s="4"/>
      <c r="H89" s="4"/>
      <c r="I89" s="4"/>
      <c r="J89" s="4"/>
      <c r="K89" s="4"/>
      <c r="L89" s="4"/>
      <c r="M89" s="4"/>
      <c r="N89" s="4"/>
      <c r="O89" s="4"/>
      <c r="P89" s="4"/>
      <c r="Q89" s="4"/>
      <c r="R89" s="4"/>
      <c r="S89" s="4"/>
      <c r="T89" s="4"/>
      <c r="U89" s="4"/>
      <c r="V89" s="4"/>
      <c r="W89" s="4"/>
      <c r="X89" s="4"/>
      <c r="Y89" s="4"/>
      <c r="Z89" s="4"/>
    </row>
    <row r="90" spans="1:26" ht="45" customHeight="1">
      <c r="A90" s="17" t="str">
        <f>HYPERLINK("https://vimeo.com/121850312","Cross-Body Lat Mobilization")</f>
        <v>Cross-Body Lat Mobilization</v>
      </c>
      <c r="B90" s="11" t="s">
        <v>19</v>
      </c>
      <c r="C90" s="4"/>
      <c r="D90" s="4"/>
      <c r="E90" s="4"/>
      <c r="F90" s="4"/>
      <c r="G90" s="4"/>
      <c r="H90" s="4"/>
      <c r="I90" s="4"/>
      <c r="J90" s="4"/>
      <c r="K90" s="4"/>
      <c r="L90" s="4"/>
      <c r="M90" s="4"/>
      <c r="N90" s="4"/>
      <c r="O90" s="4"/>
      <c r="P90" s="4"/>
      <c r="Q90" s="4"/>
      <c r="R90" s="4"/>
      <c r="S90" s="4"/>
      <c r="T90" s="4"/>
      <c r="U90" s="4"/>
      <c r="V90" s="4"/>
      <c r="W90" s="4"/>
      <c r="X90" s="4"/>
      <c r="Y90" s="4"/>
      <c r="Z90" s="4"/>
    </row>
    <row r="91" spans="1:26" ht="45" customHeight="1">
      <c r="A91" s="17" t="str">
        <f>HYPERLINK("https://vimeo.com/121850313","Dead Bug")</f>
        <v>Dead Bug</v>
      </c>
      <c r="B91" s="4" t="s">
        <v>71</v>
      </c>
      <c r="C91" s="4"/>
      <c r="D91" s="4"/>
      <c r="E91" s="4"/>
      <c r="F91" s="4"/>
      <c r="G91" s="4"/>
      <c r="H91" s="4"/>
      <c r="I91" s="4"/>
      <c r="J91" s="4"/>
      <c r="K91" s="4"/>
      <c r="L91" s="4"/>
      <c r="M91" s="4"/>
      <c r="N91" s="4"/>
      <c r="O91" s="4"/>
      <c r="P91" s="4"/>
      <c r="Q91" s="4"/>
      <c r="R91" s="4"/>
      <c r="S91" s="4"/>
      <c r="T91" s="4"/>
      <c r="U91" s="4"/>
      <c r="V91" s="4"/>
      <c r="W91" s="4"/>
      <c r="X91" s="4"/>
      <c r="Y91" s="4"/>
      <c r="Z91" s="4"/>
    </row>
    <row r="92" spans="1:26" ht="45" customHeight="1">
      <c r="A92" s="17" t="str">
        <f>HYPERLINK("https://vimeo.com/121850314","Dead Bug With Legs Only")</f>
        <v>Dead Bug With Legs Only</v>
      </c>
      <c r="B92" s="4" t="s">
        <v>72</v>
      </c>
      <c r="C92" s="4"/>
      <c r="D92" s="4"/>
      <c r="E92" s="4"/>
      <c r="F92" s="4"/>
      <c r="G92" s="4"/>
      <c r="H92" s="4"/>
      <c r="I92" s="4"/>
      <c r="J92" s="4"/>
      <c r="K92" s="4"/>
      <c r="L92" s="4"/>
      <c r="M92" s="4"/>
      <c r="N92" s="4"/>
      <c r="O92" s="4"/>
      <c r="P92" s="4"/>
      <c r="Q92" s="4"/>
      <c r="R92" s="4"/>
      <c r="S92" s="4"/>
      <c r="T92" s="4"/>
      <c r="U92" s="4"/>
      <c r="V92" s="4"/>
      <c r="W92" s="4"/>
      <c r="X92" s="4"/>
      <c r="Y92" s="4"/>
      <c r="Z92" s="4"/>
    </row>
    <row r="93" spans="1:26" ht="45" customHeight="1">
      <c r="A93" s="17" t="str">
        <f>HYPERLINK("https://vimeo.com/121850317","Deep Neck Flexor Activation and Suboccipital Stretch")</f>
        <v>Deep Neck Flexor Activation and Suboccipital Stretch</v>
      </c>
      <c r="B93" s="11" t="s">
        <v>20</v>
      </c>
      <c r="C93" s="4"/>
      <c r="D93" s="4"/>
      <c r="E93" s="4"/>
      <c r="F93" s="4"/>
      <c r="G93" s="4"/>
      <c r="H93" s="4"/>
      <c r="I93" s="4"/>
      <c r="J93" s="4"/>
      <c r="K93" s="4"/>
      <c r="L93" s="4"/>
      <c r="M93" s="4"/>
      <c r="N93" s="4"/>
      <c r="O93" s="4"/>
      <c r="P93" s="4"/>
      <c r="Q93" s="4"/>
      <c r="R93" s="4"/>
      <c r="S93" s="4"/>
      <c r="T93" s="4"/>
      <c r="U93" s="4"/>
      <c r="V93" s="4"/>
      <c r="W93" s="4"/>
      <c r="X93" s="4"/>
      <c r="Y93" s="4"/>
      <c r="Z93" s="4"/>
    </row>
    <row r="94" spans="1:26" ht="45" customHeight="1">
      <c r="A94" s="17" t="str">
        <f>HYPERLINK("https://vimeo.com/121850873","Deep Squat Wall Stretch")</f>
        <v>Deep Squat Wall Stretch</v>
      </c>
      <c r="B94" s="4" t="s">
        <v>21</v>
      </c>
      <c r="C94" s="4"/>
      <c r="D94" s="4"/>
      <c r="E94" s="4"/>
      <c r="F94" s="4"/>
      <c r="G94" s="4"/>
      <c r="H94" s="4"/>
      <c r="I94" s="4"/>
      <c r="J94" s="4"/>
      <c r="K94" s="4"/>
      <c r="L94" s="4"/>
      <c r="M94" s="4"/>
      <c r="N94" s="4"/>
      <c r="O94" s="4"/>
      <c r="P94" s="4"/>
      <c r="Q94" s="4"/>
      <c r="R94" s="4"/>
      <c r="S94" s="4"/>
      <c r="T94" s="4"/>
      <c r="U94" s="4"/>
      <c r="V94" s="4"/>
      <c r="W94" s="4"/>
      <c r="X94" s="4"/>
      <c r="Y94" s="4"/>
      <c r="Z94" s="4"/>
    </row>
    <row r="95" spans="1:26" ht="45" customHeight="1">
      <c r="A95" s="17" t="str">
        <f>HYPERLINK("https://vimeo.com/121850876","Dragon Flag")</f>
        <v>Dragon Flag</v>
      </c>
      <c r="B95" s="11" t="s">
        <v>69</v>
      </c>
      <c r="C95" s="4"/>
      <c r="D95" s="4"/>
      <c r="E95" s="4"/>
      <c r="F95" s="4"/>
      <c r="G95" s="4"/>
      <c r="H95" s="4"/>
      <c r="I95" s="4"/>
      <c r="J95" s="4"/>
      <c r="K95" s="4"/>
      <c r="L95" s="4"/>
      <c r="M95" s="4"/>
      <c r="N95" s="4"/>
      <c r="O95" s="4"/>
      <c r="P95" s="4"/>
      <c r="Q95" s="4"/>
      <c r="R95" s="4"/>
      <c r="S95" s="4"/>
      <c r="T95" s="4"/>
      <c r="U95" s="4"/>
      <c r="V95" s="4"/>
      <c r="W95" s="4"/>
      <c r="X95" s="4"/>
      <c r="Y95" s="4"/>
      <c r="Z95" s="4"/>
    </row>
    <row r="96" spans="1:26" ht="45" customHeight="1">
      <c r="A96" s="17" t="str">
        <f>HYPERLINK("https://vimeo.com/121850878","Dumbbell 1 1/4 Full Squat")</f>
        <v>Dumbbell 1 1/4 Full Squat</v>
      </c>
      <c r="B96" s="11" t="s">
        <v>195</v>
      </c>
      <c r="C96" s="4"/>
      <c r="D96" s="4"/>
      <c r="E96" s="4"/>
      <c r="F96" s="4"/>
      <c r="G96" s="4"/>
      <c r="H96" s="4"/>
      <c r="I96" s="4"/>
      <c r="J96" s="4"/>
      <c r="K96" s="4"/>
      <c r="L96" s="4"/>
      <c r="M96" s="4"/>
      <c r="N96" s="4"/>
      <c r="O96" s="4"/>
      <c r="P96" s="4"/>
      <c r="Q96" s="4"/>
      <c r="R96" s="4"/>
      <c r="S96" s="4"/>
      <c r="T96" s="4"/>
      <c r="U96" s="4"/>
      <c r="V96" s="4"/>
      <c r="W96" s="4"/>
      <c r="X96" s="4"/>
      <c r="Y96" s="4"/>
      <c r="Z96" s="4"/>
    </row>
    <row r="97" spans="1:26" ht="45" customHeight="1">
      <c r="A97" s="17" t="str">
        <f>HYPERLINK("https://vimeo.com/121850880","Dumbbell Bench Press")</f>
        <v>Dumbbell Bench Press</v>
      </c>
      <c r="B97" s="11" t="s">
        <v>86</v>
      </c>
      <c r="C97" s="4"/>
      <c r="D97" s="4"/>
      <c r="E97" s="4"/>
      <c r="F97" s="4"/>
      <c r="G97" s="4"/>
      <c r="H97" s="4"/>
      <c r="I97" s="4"/>
      <c r="J97" s="4"/>
      <c r="K97" s="4"/>
      <c r="L97" s="4"/>
      <c r="M97" s="4"/>
      <c r="N97" s="4"/>
      <c r="O97" s="4"/>
      <c r="P97" s="4"/>
      <c r="Q97" s="4"/>
      <c r="R97" s="4"/>
      <c r="S97" s="4"/>
      <c r="T97" s="4"/>
      <c r="U97" s="4"/>
      <c r="V97" s="4"/>
      <c r="W97" s="4"/>
      <c r="X97" s="4"/>
      <c r="Y97" s="4"/>
      <c r="Z97" s="4"/>
    </row>
    <row r="98" spans="1:26" ht="45" customHeight="1">
      <c r="A98" s="17" t="str">
        <f>HYPERLINK("https://vimeo.com/121850881","Dumbbell Cross-Over Step-Up")</f>
        <v>Dumbbell Cross-Over Step-Up</v>
      </c>
      <c r="B98" s="4" t="s">
        <v>145</v>
      </c>
      <c r="C98" s="4"/>
      <c r="D98" s="4"/>
      <c r="E98" s="4"/>
      <c r="F98" s="4"/>
      <c r="G98" s="4"/>
      <c r="H98" s="4"/>
      <c r="I98" s="4"/>
      <c r="J98" s="4"/>
      <c r="K98" s="4"/>
      <c r="L98" s="4"/>
      <c r="M98" s="4"/>
      <c r="N98" s="4"/>
      <c r="O98" s="4"/>
      <c r="P98" s="4"/>
      <c r="Q98" s="4"/>
      <c r="R98" s="4"/>
      <c r="S98" s="4"/>
      <c r="T98" s="4"/>
      <c r="U98" s="4"/>
      <c r="V98" s="4"/>
      <c r="W98" s="4"/>
      <c r="X98" s="4"/>
      <c r="Y98" s="4"/>
      <c r="Z98" s="4"/>
    </row>
    <row r="99" spans="1:26" ht="45" customHeight="1">
      <c r="A99" s="17" t="str">
        <f>HYPERLINK("https://vimeo.com/121851277","Dumbbell Curl")</f>
        <v>Dumbbell Curl</v>
      </c>
      <c r="B99" s="11" t="s">
        <v>151</v>
      </c>
      <c r="C99" s="4"/>
      <c r="D99" s="4"/>
      <c r="E99" s="4"/>
      <c r="F99" s="4"/>
      <c r="G99" s="4"/>
      <c r="H99" s="4"/>
      <c r="I99" s="4"/>
      <c r="J99" s="4"/>
      <c r="K99" s="4"/>
      <c r="L99" s="4"/>
      <c r="M99" s="4"/>
      <c r="N99" s="4"/>
      <c r="O99" s="4"/>
      <c r="P99" s="4"/>
      <c r="Q99" s="4"/>
      <c r="R99" s="4"/>
      <c r="S99" s="4"/>
      <c r="T99" s="4"/>
      <c r="U99" s="4"/>
      <c r="V99" s="4"/>
      <c r="W99" s="4"/>
      <c r="X99" s="4"/>
      <c r="Y99" s="4"/>
      <c r="Z99" s="4"/>
    </row>
    <row r="100" spans="1:26" ht="45" customHeight="1">
      <c r="A100" s="17" t="str">
        <f>HYPERLINK("https://vimeo.com/121851278","Dumbbell External Rotation on Knee")</f>
        <v>Dumbbell External Rotation on Knee</v>
      </c>
      <c r="B100" s="11" t="s">
        <v>172</v>
      </c>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45" customHeight="1">
      <c r="A101" s="17" t="str">
        <f>HYPERLINK("https://vimeo.com/121851279","Dumbbell Floor Press")</f>
        <v>Dumbbell Floor Press</v>
      </c>
      <c r="B101" s="11" t="s">
        <v>86</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45" customHeight="1">
      <c r="A102" s="17" t="str">
        <f>HYPERLINK("https://vimeo.com/121851280","Dumbbell Flye EQI")</f>
        <v>Dumbbell Flye EQI</v>
      </c>
      <c r="B102" s="11" t="s">
        <v>196</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45" customHeight="1">
      <c r="A103" s="17" t="str">
        <f>HYPERLINK("https://vimeo.com/121851282","Dumbbell Full Squat")</f>
        <v>Dumbbell Full Squat</v>
      </c>
      <c r="B103" s="11" t="s">
        <v>197</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45" customHeight="1">
      <c r="A104" s="17" t="str">
        <f>HYPERLINK("https://vimeo.com/121851466","Dumbbell Hammer Curl")</f>
        <v>Dumbbell Hammer Curl</v>
      </c>
      <c r="B104" s="11" t="s">
        <v>151</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45" customHeight="1">
      <c r="A105" s="17" t="str">
        <f>HYPERLINK("https://vimeo.com/121851467","Dumbbell Overhead Shrug")</f>
        <v>Dumbbell Overhead Shrug</v>
      </c>
      <c r="B105" s="11" t="s">
        <v>106</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45" customHeight="1">
      <c r="A106" s="17" t="str">
        <f>HYPERLINK("https://vimeo.com/121851468","Dumbbell Push Press")</f>
        <v>Dumbbell Push Press</v>
      </c>
      <c r="B106" s="11" t="s">
        <v>105</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45" customHeight="1">
      <c r="A107" s="17" t="str">
        <f>HYPERLINK("https://vimeo.com/121851469","Dumbbell Reverse Lunge")</f>
        <v>Dumbbell Reverse Lunge</v>
      </c>
      <c r="B107" s="11" t="s">
        <v>134</v>
      </c>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45" customHeight="1">
      <c r="A108" s="17" t="str">
        <f>HYPERLINK("https://vimeo.com/121851653","Dumbbell Reverse Lunge From Deficit")</f>
        <v>Dumbbell Reverse Lunge From Deficit</v>
      </c>
      <c r="B108" s="11" t="s">
        <v>134</v>
      </c>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45" customHeight="1">
      <c r="A109" s="17" t="str">
        <f>HYPERLINK("https://vimeo.com/121851654","Dumbbell Reverse Lunge to Romanian Deadlift")</f>
        <v>Dumbbell Reverse Lunge to Romanian Deadlift</v>
      </c>
      <c r="B109" s="11" t="s">
        <v>141</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45" customHeight="1">
      <c r="A110" s="17" t="str">
        <f>HYPERLINK("https://vimeo.com/121851655","Dumbbell Reverse Lunge With Blocked Knee")</f>
        <v>Dumbbell Reverse Lunge With Blocked Knee</v>
      </c>
      <c r="B110" s="11" t="s">
        <v>135</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45" customHeight="1">
      <c r="A111" s="17" t="str">
        <f>HYPERLINK("https://vimeo.com/121851656","Dumbbell Romanian Deadlift")</f>
        <v>Dumbbell Romanian Deadlift</v>
      </c>
      <c r="B111" s="11" t="s">
        <v>187</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45" customHeight="1">
      <c r="A112" s="17" t="str">
        <f>HYPERLINK("https://vimeo.com/121851658","Dumbbell Slideboard Reverse Lunge")</f>
        <v>Dumbbell Slideboard Reverse Lunge</v>
      </c>
      <c r="B112" s="11" t="s">
        <v>134</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45" customHeight="1">
      <c r="A113" s="17" t="str">
        <f>HYPERLINK("https://vimeo.com/121851957","Dumbbell Split Squat")</f>
        <v>Dumbbell Split Squat</v>
      </c>
      <c r="B113" s="4" t="s">
        <v>136</v>
      </c>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45" customHeight="1">
      <c r="A114" s="17" t="str">
        <f>HYPERLINK("https://vimeo.com/121851958","Dumbbell Squat Thrust")</f>
        <v>Dumbbell Squat Thrust</v>
      </c>
      <c r="B114" s="11" t="s">
        <v>182</v>
      </c>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5" customHeight="1">
      <c r="A115" s="17" t="str">
        <f>HYPERLINK("https://vimeo.com/121851960","Dumbbell Step-Up")</f>
        <v>Dumbbell Step-Up</v>
      </c>
      <c r="B115" s="4" t="s">
        <v>142</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45" customHeight="1">
      <c r="A116" s="17" t="str">
        <f>HYPERLINK("https://vimeo.com/121851961","Dumbbell Sumo Deadlift")</f>
        <v>Dumbbell Sumo Deadlift</v>
      </c>
      <c r="B116" s="11" t="s">
        <v>198</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45" customHeight="1">
      <c r="A117" s="17" t="str">
        <f>HYPERLINK("https://vimeo.com/121851964","Dynamic Blackburn")</f>
        <v>Dynamic Blackburn</v>
      </c>
      <c r="B117" s="11" t="s">
        <v>15</v>
      </c>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45" customHeight="1">
      <c r="A118" s="17" t="str">
        <f>HYPERLINK("https://vimeo.com/121852151","Eccentric Chin-Up")</f>
        <v>Eccentric Chin-Up</v>
      </c>
      <c r="B118" s="11" t="s">
        <v>125</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45" customHeight="1">
      <c r="A119" s="17" t="str">
        <f>HYPERLINK("https://vimeo.com/121852152","Eccentric Pull-Up")</f>
        <v>Eccentric Pull-Up</v>
      </c>
      <c r="B119" s="11" t="s">
        <v>125</v>
      </c>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45" customHeight="1">
      <c r="A120" s="17" t="str">
        <f>HYPERLINK("https://vimeo.com/121852155","Elbow Plank Bodysaw")</f>
        <v>Elbow Plank Bodysaw</v>
      </c>
      <c r="B120" s="4" t="s">
        <v>53</v>
      </c>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45" customHeight="1">
      <c r="A121" s="17" t="str">
        <f>HYPERLINK("https://vimeo.com/121852158","Explosive Pushup")</f>
        <v>Explosive Pushup</v>
      </c>
      <c r="B121" s="11" t="s">
        <v>99</v>
      </c>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45" customHeight="1">
      <c r="A122" s="17" t="str">
        <f>HYPERLINK("https://vimeo.com/121852160","Face Pull")</f>
        <v>Face Pull</v>
      </c>
      <c r="B122" s="11" t="s">
        <v>173</v>
      </c>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45" customHeight="1">
      <c r="A123" s="17" t="str">
        <f>HYPERLINK("https://vimeo.com/121852770","Feet-Elevated Band-Resisted Pushup")</f>
        <v>Feet-Elevated Band-Resisted Pushup</v>
      </c>
      <c r="B123" s="11" t="s">
        <v>89</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45" customHeight="1">
      <c r="A124" s="17" t="str">
        <f>HYPERLINK("https://vimeo.com/121852771","Feet-Elevated Pushup")</f>
        <v>Feet-Elevated Pushup</v>
      </c>
      <c r="B124" s="11" t="s">
        <v>89</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45" customHeight="1">
      <c r="A125" s="17" t="str">
        <f>HYPERLINK("https://vimeo.com/121852773","Feet-Elevated Pushup to Single-Arm Support")</f>
        <v>Feet-Elevated Pushup to Single-Arm Support</v>
      </c>
      <c r="B125" s="11" t="s">
        <v>90</v>
      </c>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45" customHeight="1">
      <c r="A126" s="17" t="str">
        <f>HYPERLINK("https://vimeo.com/121852774","Feet-Elevated Side Plank")</f>
        <v>Feet-Elevated Side Plank</v>
      </c>
      <c r="B126" s="11" t="s">
        <v>57</v>
      </c>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45" customHeight="1">
      <c r="A127" s="17" t="str">
        <f>HYPERLINK("https://vimeo.com/121852776","Fetal-Position Breathing")</f>
        <v>Fetal-Position Breathing</v>
      </c>
      <c r="B127" s="11" t="s">
        <v>199</v>
      </c>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45" customHeight="1">
      <c r="A128" s="17" t="str">
        <f>HYPERLINK("https://vimeo.com/121852963","Forearm Wall-Slide at 135 Degrees")</f>
        <v>Forearm Wall-Slide at 135 Degrees</v>
      </c>
      <c r="B128" s="11" t="s">
        <v>32</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45" customHeight="1">
      <c r="A129" s="17" t="str">
        <f>HYPERLINK("https://vimeo.com/121852964","Goblet 1 1/4 Squat")</f>
        <v>Goblet 1 1/4 Squat</v>
      </c>
      <c r="B129" s="11" t="s">
        <v>195</v>
      </c>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45" customHeight="1">
      <c r="A130" s="17" t="str">
        <f>HYPERLINK("https://vimeo.com/121852965","Goblet Lateral Lunge")</f>
        <v>Goblet Lateral Lunge</v>
      </c>
      <c r="B130" s="4" t="s">
        <v>126</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45" customHeight="1">
      <c r="A131" s="17" t="str">
        <f>HYPERLINK("https://vimeo.com/121852966","Goblet Lateral Lunge Walk")</f>
        <v>Goblet Lateral Lunge Walk</v>
      </c>
      <c r="B131" s="11" t="s">
        <v>140</v>
      </c>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45" customHeight="1">
      <c r="A132" s="17" t="str">
        <f>HYPERLINK("https://vimeo.com/121852967","Goblet Lateral Squat")</f>
        <v>Goblet Lateral Squat</v>
      </c>
      <c r="B132" s="4" t="s">
        <v>126</v>
      </c>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45" customHeight="1">
      <c r="A133" s="17" t="str">
        <f>HYPERLINK("https://vimeo.com/121853150","Goblet Lunge")</f>
        <v>Goblet Lunge</v>
      </c>
      <c r="B133" s="11" t="s">
        <v>134</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45" customHeight="1">
      <c r="A134" s="17" t="str">
        <f>HYPERLINK("https://vimeo.com/121853151","Goblet Reverse Lunge")</f>
        <v>Goblet Reverse Lunge</v>
      </c>
      <c r="B134" s="11" t="s">
        <v>134</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45" customHeight="1">
      <c r="A135" s="17" t="str">
        <f>HYPERLINK("https://vimeo.com/121853152","Goblet Reverse Lunge With Blocked Knee")</f>
        <v>Goblet Reverse Lunge With Blocked Knee</v>
      </c>
      <c r="B135" s="11" t="s">
        <v>135</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45" customHeight="1">
      <c r="A136" s="17" t="str">
        <f>HYPERLINK("https://vimeo.com/121853153","Goblet Split Squat")</f>
        <v>Goblet Split Squat</v>
      </c>
      <c r="B136" s="11" t="s">
        <v>136</v>
      </c>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45" customHeight="1">
      <c r="A137" s="17" t="str">
        <f>HYPERLINK("https://vimeo.com/121853152","Goblet Split Squat With Blocked Knee")</f>
        <v>Goblet Split Squat With Blocked Knee</v>
      </c>
      <c r="B137" s="4" t="s">
        <v>136</v>
      </c>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45" customHeight="1">
      <c r="A138" s="17" t="str">
        <f>HYPERLINK("https://vimeo.com/121853329","Goblet Squat")</f>
        <v>Goblet Squat</v>
      </c>
      <c r="B138" s="11" t="s">
        <v>197</v>
      </c>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45" customHeight="1">
      <c r="A139" s="17" t="str">
        <f>HYPERLINK("https://vimeo.com/121853331","Goblet Squat Iso")</f>
        <v>Goblet Squat Iso</v>
      </c>
      <c r="B139" s="11" t="s">
        <v>200</v>
      </c>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45" customHeight="1">
      <c r="A140" s="17" t="str">
        <f>HYPERLINK("https://vimeo.com/121853333","Goblet Squat to Box")</f>
        <v>Goblet Squat to Box</v>
      </c>
      <c r="B140" s="11" t="s">
        <v>127</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45" customHeight="1">
      <c r="A141" s="17" t="str">
        <f>HYPERLINK("https://vimeo.com/121853335","Goblet Squat With Pulse")</f>
        <v>Goblet Squat With Pulse</v>
      </c>
      <c r="B141" s="11" t="s">
        <v>201</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45" customHeight="1">
      <c r="A142" s="17" t="str">
        <f>HYPERLINK("https://vimeo.com/121853336","Goblet Step-Up")</f>
        <v>Goblet Step-Up</v>
      </c>
      <c r="B142" s="4" t="s">
        <v>142</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45" customHeight="1">
      <c r="A143" s="17" t="str">
        <f>HYPERLINK("https://vimeo.com/121853617","Half Get-Up")</f>
        <v>Half Get-Up</v>
      </c>
      <c r="B143" s="11" t="s">
        <v>74</v>
      </c>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45" customHeight="1">
      <c r="A144" s="17" t="str">
        <f>HYPERLINK("https://vimeo.com/121853618","Half-Kneeling Band Chop")</f>
        <v>Half-Kneeling Band Chop</v>
      </c>
      <c r="B144" s="11" t="s">
        <v>82</v>
      </c>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45" customHeight="1">
      <c r="A145" s="17" t="str">
        <f>HYPERLINK("https://vimeo.com/121853619","Half-Kneeling Band Lift")</f>
        <v>Half-Kneeling Band Lift</v>
      </c>
      <c r="B145" s="11" t="s">
        <v>82</v>
      </c>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45" customHeight="1">
      <c r="A146" s="17" t="str">
        <f>HYPERLINK("https://vimeo.com/121853621","Half-Kneeling Band Overhead Shrug")</f>
        <v>Half-Kneeling Band Overhead Shrug</v>
      </c>
      <c r="B146" s="11" t="s">
        <v>170</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45" customHeight="1">
      <c r="A147" s="17" t="str">
        <f>HYPERLINK("https://vimeo.com/121853622","Half-Kneeling Cable Chop")</f>
        <v>Half-Kneeling Cable Chop</v>
      </c>
      <c r="B147" s="11" t="s">
        <v>62</v>
      </c>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45" customHeight="1">
      <c r="A148" s="17" t="str">
        <f>HYPERLINK("https://vimeo.com/121853809","Half-Kneeling Cable Lift")</f>
        <v>Half-Kneeling Cable Lift</v>
      </c>
      <c r="B148" s="11" t="s">
        <v>62</v>
      </c>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45" customHeight="1">
      <c r="A149" s="17" t="str">
        <f>HYPERLINK("https://vimeo.com/121853811","Half-Kneeling Pallof Press Iso")</f>
        <v>Half-Kneeling Pallof Press Iso</v>
      </c>
      <c r="B149" s="11" t="s">
        <v>63</v>
      </c>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45" customHeight="1">
      <c r="A150" s="17" t="str">
        <f>HYPERLINK("https://vimeo.com/121853810","Half-Kneeling Pallof Press Iso With Band")</f>
        <v>Half-Kneeling Pallof Press Iso With Band</v>
      </c>
      <c r="B150" s="11" t="s">
        <v>63</v>
      </c>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45" customHeight="1">
      <c r="A151" s="17" t="str">
        <f>HYPERLINK("https://vimeo.com/121949306","Hamstring Mobilization With Lacrosse Ball")</f>
        <v>Hamstring Mobilization With Lacrosse Ball</v>
      </c>
      <c r="B151" s="11" t="s">
        <v>202</v>
      </c>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45" customHeight="1">
      <c r="A152" s="17" t="str">
        <f>HYPERLINK("https://vimeo.com/121949307","Hand Cross-Over")</f>
        <v>Hand Cross-Over</v>
      </c>
      <c r="B152" s="4" t="s">
        <v>44</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45" customHeight="1">
      <c r="A153" s="17" t="str">
        <f>HYPERLINK("https://vimeo.com/121949309","Hands-Elevated Pushup")</f>
        <v>Hands-Elevated Pushup</v>
      </c>
      <c r="B153" s="11" t="s">
        <v>89</v>
      </c>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45" customHeight="1">
      <c r="A154" s="17" t="str">
        <f>HYPERLINK("https://vimeo.com/121949310","Hands-Elevated Pushup to Single-Arm Support ")</f>
        <v xml:space="preserve">Hands-Elevated Pushup to Single-Arm Support </v>
      </c>
      <c r="B154" s="11" t="s">
        <v>90</v>
      </c>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45" customHeight="1">
      <c r="A155" s="17" t="str">
        <f>HYPERLINK("https://vimeo.com/121949312","Hanging Anti-Lateral Flexion")</f>
        <v>Hanging Anti-Lateral Flexion</v>
      </c>
      <c r="B155" s="11" t="s">
        <v>203</v>
      </c>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45" customHeight="1">
      <c r="A156" s="17" t="str">
        <f>HYPERLINK("https://vimeo.com/121949477","Hanging Unilateral March")</f>
        <v>Hanging Unilateral March</v>
      </c>
      <c r="B156" s="11" t="s">
        <v>204</v>
      </c>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45" customHeight="1">
      <c r="A157" s="17" t="str">
        <f>HYPERLINK("https://vimeo.com/121949478","Hinge to Side Plank")</f>
        <v>Hinge to Side Plank</v>
      </c>
      <c r="B157" s="4" t="s">
        <v>56</v>
      </c>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45" customHeight="1">
      <c r="A158" s="17" t="str">
        <f>HYPERLINK("https://vimeo.com/121949479","Hip Flexor Stretch")</f>
        <v>Hip Flexor Stretch</v>
      </c>
      <c r="B158" s="11" t="s">
        <v>205</v>
      </c>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45" customHeight="1">
      <c r="A159" s="17" t="str">
        <f>HYPERLINK("https://vimeo.com/121949480","Hip-Belt Squat")</f>
        <v>Hip-Belt Squat</v>
      </c>
      <c r="B159" s="11" t="s">
        <v>206</v>
      </c>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45" customHeight="1">
      <c r="A160" s="17" t="str">
        <f>HYPERLINK("https://vimeo.com/121949481","Inchworm")</f>
        <v>Inchworm</v>
      </c>
      <c r="B160" s="11" t="s">
        <v>45</v>
      </c>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45" customHeight="1">
      <c r="A161" s="17" t="str">
        <f>HYPERLINK("https://vimeo.com/121951974","Inverted Row")</f>
        <v>Inverted Row</v>
      </c>
      <c r="B161" s="4" t="s">
        <v>118</v>
      </c>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45" customHeight="1">
      <c r="A162" s="17" t="str">
        <f>HYPERLINK("https://vimeo.com/121951975","Inverted Row With Feet Elevated")</f>
        <v>Inverted Row With Feet Elevated</v>
      </c>
      <c r="B162" s="11" t="s">
        <v>118</v>
      </c>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45" customHeight="1">
      <c r="A163" s="17" t="str">
        <f>HYPERLINK("https://vimeo.com/121951976","Inverted Row With Weight Vest")</f>
        <v>Inverted Row With Weight Vest</v>
      </c>
      <c r="B163" s="11" t="s">
        <v>120</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45" customHeight="1">
      <c r="A164" s="17" t="str">
        <f>HYPERLINK("https://vimeo.com/121951977","Kettlebell Armbar")</f>
        <v>Kettlebell Armbar</v>
      </c>
      <c r="B164" s="11" t="s">
        <v>207</v>
      </c>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45" customHeight="1">
      <c r="A165" s="17" t="str">
        <f>HYPERLINK("https://vimeo.com/121951978","Kettlebell Split Squat With Blocked Knee")</f>
        <v>Kettlebell Split Squat With Blocked Knee</v>
      </c>
      <c r="B165" s="4" t="s">
        <v>136</v>
      </c>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45" customHeight="1">
      <c r="A166" s="17" t="str">
        <f>HYPERLINK("https://vimeo.com/121952185","Knees-to-Feet Drill")</f>
        <v>Knees-to-Feet Drill</v>
      </c>
      <c r="B166" s="11" t="s">
        <v>208</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45" customHeight="1">
      <c r="A167" s="17" t="str">
        <f>HYPERLINK("https://vimeo.com/121952186","Landmine Rainbow")</f>
        <v>Landmine Rainbow</v>
      </c>
      <c r="B167" s="4" t="s">
        <v>183</v>
      </c>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45" customHeight="1">
      <c r="A168" s="17" t="str">
        <f>HYPERLINK("https://vimeo.com/122318363","Lat and Triceps Stretch")</f>
        <v>Lat and Triceps Stretch</v>
      </c>
      <c r="B168" s="11" t="s">
        <v>22</v>
      </c>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45" customHeight="1">
      <c r="A169" s="17" t="str">
        <f>HYPERLINK("https://vimeo.com/122318365","Lateral Lunge With Overhead Driver")</f>
        <v>Lateral Lunge With Overhead Driver</v>
      </c>
      <c r="B169" s="4" t="s">
        <v>78</v>
      </c>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45" customHeight="1">
      <c r="A170" s="17" t="str">
        <f>HYPERLINK("https://vimeo.com/122318366","Long-Lever Plank")</f>
        <v>Long-Lever Plank</v>
      </c>
      <c r="B170" s="11" t="s">
        <v>52</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45" customHeight="1">
      <c r="A171" s="17" t="str">
        <f>HYPERLINK("https://vimeo.com/122318367","Lying Dumbbell Rolling Triceps Extension")</f>
        <v>Lying Dumbbell Rolling Triceps Extension</v>
      </c>
      <c r="B171" s="11" t="s">
        <v>155</v>
      </c>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45" customHeight="1">
      <c r="A172" s="17" t="str">
        <f>HYPERLINK("https://vimeo.com/122318368","Lying Dumbbell Triceps Extension")</f>
        <v>Lying Dumbbell Triceps Extension</v>
      </c>
      <c r="B172" s="11" t="s">
        <v>158</v>
      </c>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45" customHeight="1">
      <c r="A173" s="17" t="str">
        <f>HYPERLINK("https://vimeo.com/122319723","Mountain Climber")</f>
        <v>Mountain Climber</v>
      </c>
      <c r="B173" s="11" t="s">
        <v>180</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45" customHeight="1">
      <c r="A174" s="17" t="str">
        <f>HYPERLINK("https://vimeo.com/122319725","Neutral-Grip Cable Pull-Down")</f>
        <v>Neutral-Grip Cable Pull-Down</v>
      </c>
      <c r="B174" s="11" t="s">
        <v>121</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45" customHeight="1">
      <c r="A175" s="17" t="str">
        <f>HYPERLINK("https://vimeo.com/122319729","Neutral-Grip Pull-Up")</f>
        <v>Neutral-Grip Pull-Up</v>
      </c>
      <c r="B175" s="11" t="s">
        <v>121</v>
      </c>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45" customHeight="1">
      <c r="A176" s="17" t="str">
        <f>HYPERLINK("https://vimeo.com/122319731","Neutral-Grip Seated Band Row")</f>
        <v>Neutral-Grip Seated Band Row</v>
      </c>
      <c r="B176" s="11" t="s">
        <v>110</v>
      </c>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45" customHeight="1">
      <c r="A177" s="17" t="str">
        <f>HYPERLINK("https://vimeo.com/122319734","Neutral-Grip Seated Cable Row")</f>
        <v>Neutral-Grip Seated Cable Row</v>
      </c>
      <c r="B177" s="11" t="s">
        <v>115</v>
      </c>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45" customHeight="1">
      <c r="A178" s="17" t="str">
        <f>HYPERLINK("https://vimeo.com/122320362","No Money Drill")</f>
        <v>No Money Drill</v>
      </c>
      <c r="B178" s="11" t="s">
        <v>23</v>
      </c>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45" customHeight="1">
      <c r="A179" s="17" t="str">
        <f>HYPERLINK("https://vimeo.com/122320363","Offset Dumbbell Cross-Over Step-Up")</f>
        <v>Offset Dumbbell Cross-Over Step-Up</v>
      </c>
      <c r="B179" s="11" t="s">
        <v>145</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45" customHeight="1">
      <c r="A180" s="17" t="str">
        <f>HYPERLINK("https://vimeo.com/122320364","Offset Dumbbell Reverse Lunge")</f>
        <v>Offset Dumbbell Reverse Lunge</v>
      </c>
      <c r="B180" s="11" t="s">
        <v>137</v>
      </c>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45" customHeight="1">
      <c r="A181" s="17" t="str">
        <f>HYPERLINK("https://vimeo.com/122320366","Offset Dumbbell Reverse Lunge From Deficit")</f>
        <v>Offset Dumbbell Reverse Lunge From Deficit</v>
      </c>
      <c r="B181" s="11" t="s">
        <v>137</v>
      </c>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45" customHeight="1">
      <c r="A182" s="17" t="str">
        <f>HYPERLINK("https://vimeo.com/122320369","Offset Dumbbell Reverse Lunge to Romanian Deadlift")</f>
        <v>Offset Dumbbell Reverse Lunge to Romanian Deadlift</v>
      </c>
      <c r="B182" s="11" t="s">
        <v>137</v>
      </c>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45" customHeight="1">
      <c r="A183" s="17" t="str">
        <f>HYPERLINK("https://vimeo.com/122320977","Offset Dumbbell Reverse Lunge With Blocked Knee")</f>
        <v>Offset Dumbbell Reverse Lunge With Blocked Knee</v>
      </c>
      <c r="B183" s="11" t="s">
        <v>137</v>
      </c>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45" customHeight="1">
      <c r="A184" s="17" t="str">
        <f>HYPERLINK("https://vimeo.com/122320978","Offset Dumbbell Slideboard Reverse Lunge")</f>
        <v>Offset Dumbbell Slideboard Reverse Lunge</v>
      </c>
      <c r="B184" s="11" t="s">
        <v>137</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45" customHeight="1">
      <c r="A185" s="17" t="str">
        <f>HYPERLINK("https://vimeo.com/122320980","Offset Dumbbell Split Squat")</f>
        <v>Offset Dumbbell Split Squat</v>
      </c>
      <c r="B185" s="11" t="s">
        <v>137</v>
      </c>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45" customHeight="1">
      <c r="A186" s="17" t="str">
        <f>HYPERLINK("https://vimeo.com/122320983","Offset Dumbbell Step-Up")</f>
        <v>Offset Dumbbell Step-Up</v>
      </c>
      <c r="B186" s="11" t="s">
        <v>209</v>
      </c>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45" customHeight="1">
      <c r="A187" s="17" t="str">
        <f>HYPERLINK("https://vimeo.com/122320985","Overhead Band Pallof Press")</f>
        <v>Overhead Band Pallof Press</v>
      </c>
      <c r="B187" s="11" t="s">
        <v>60</v>
      </c>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45" customHeight="1">
      <c r="A188" s="17" t="str">
        <f>HYPERLINK("https://vimeo.com/122353965","Overhead Band Press")</f>
        <v>Overhead Band Press</v>
      </c>
      <c r="B188" s="11" t="s">
        <v>210</v>
      </c>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45" customHeight="1">
      <c r="A189" s="17" t="str">
        <f>HYPERLINK("https://vimeo.com/122353970","Overhead Band Triceps Extension")</f>
        <v>Overhead Band Triceps Extension</v>
      </c>
      <c r="B189" s="11" t="s">
        <v>156</v>
      </c>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45" customHeight="1">
      <c r="A190" s="17" t="str">
        <f>HYPERLINK("https://vimeo.com/122353971","Overhead Barbell Squat")</f>
        <v>Overhead Barbell Squat</v>
      </c>
      <c r="B190" s="11" t="s">
        <v>129</v>
      </c>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45" customHeight="1">
      <c r="A191" s="17" t="str">
        <f>HYPERLINK("https://vimeo.com/122353973","Overhead Broomstick Squat")</f>
        <v>Overhead Broomstick Squat</v>
      </c>
      <c r="B191" s="11" t="s">
        <v>129</v>
      </c>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45" customHeight="1">
      <c r="A192" s="17" t="str">
        <f>HYPERLINK("https://vimeo.com/122353975","Overhead Cable Triceps Extension")</f>
        <v>Overhead Cable Triceps Extension</v>
      </c>
      <c r="B192" s="11" t="s">
        <v>157</v>
      </c>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45" customHeight="1">
      <c r="A193" s="17" t="str">
        <f>HYPERLINK("https://vimeo.com/122354409","Overhead Dumbbell Reverse Lunge")</f>
        <v>Overhead Dumbbell Reverse Lunge</v>
      </c>
      <c r="B193" s="11" t="s">
        <v>134</v>
      </c>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45" customHeight="1">
      <c r="A194" s="17" t="str">
        <f>HYPERLINK("https://vimeo.com/122354410","Overhead Dumbbell Reverse Lunge From Deficit")</f>
        <v>Overhead Dumbbell Reverse Lunge From Deficit</v>
      </c>
      <c r="B194" s="11" t="s">
        <v>134</v>
      </c>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45" customHeight="1">
      <c r="A195" s="17" t="str">
        <f>HYPERLINK("https://vimeo.com/122354411","Overhead Offset Dumbbell Reverse Lunge")</f>
        <v>Overhead Offset Dumbbell Reverse Lunge</v>
      </c>
      <c r="B195" s="11" t="s">
        <v>137</v>
      </c>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45" customHeight="1">
      <c r="A196" s="17" t="str">
        <f>HYPERLINK("https://vimeo.com/122354412","Overhead Offset Dumbbell Reverse Lunge From Deficit")</f>
        <v>Overhead Offset Dumbbell Reverse Lunge From Deficit</v>
      </c>
      <c r="B196" s="11" t="s">
        <v>137</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45" customHeight="1">
      <c r="A197" s="17" t="str">
        <f>HYPERLINK("https://vimeo.com/122354416","Pallof Press")</f>
        <v>Pallof Press</v>
      </c>
      <c r="B197" s="4" t="s">
        <v>64</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45" customHeight="1">
      <c r="A198" s="17" t="str">
        <f>HYPERLINK("https://vimeo.com/122354913","Pallof Press Iso")</f>
        <v>Pallof Press Iso</v>
      </c>
      <c r="B198" s="4" t="s">
        <v>65</v>
      </c>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45" customHeight="1">
      <c r="A199" s="17" t="str">
        <f>HYPERLINK("https://vimeo.com/122354914","Pallof Press Iso With Band")</f>
        <v>Pallof Press Iso With Band</v>
      </c>
      <c r="B199" s="4" t="s">
        <v>65</v>
      </c>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45" customHeight="1">
      <c r="A200" s="17" t="str">
        <f>HYPERLINK("https://vimeo.com/122354918","Pallof Press to Overhead")</f>
        <v>Pallof Press to Overhead</v>
      </c>
      <c r="B200" s="4" t="s">
        <v>75</v>
      </c>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45" customHeight="1">
      <c r="A201" s="17" t="str">
        <f>HYPERLINK("https://vimeo.com/122354919","Pallof Press With Band")</f>
        <v>Pallof Press With Band</v>
      </c>
      <c r="B201" s="4" t="s">
        <v>64</v>
      </c>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45" customHeight="1">
      <c r="A202" s="17" t="str">
        <f>HYPERLINK("https://vimeo.com/122354920","Partial-Range Pushup")</f>
        <v>Partial-Range Pushup</v>
      </c>
      <c r="B202" s="11" t="s">
        <v>91</v>
      </c>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45" customHeight="1">
      <c r="A203" s="17" t="str">
        <f>HYPERLINK("https://vimeo.com/122355863","Pec Minor Broomstick Mobilization")</f>
        <v>Pec Minor Broomstick Mobilization</v>
      </c>
      <c r="B203" s="4" t="s">
        <v>24</v>
      </c>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45" customHeight="1">
      <c r="A204" s="17" t="str">
        <f>HYPERLINK("https://vimeo.com/122355864","Pec Mobilization With Lacrosse Ball")</f>
        <v>Pec Mobilization With Lacrosse Ball</v>
      </c>
      <c r="B204" s="4" t="s">
        <v>33</v>
      </c>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45" customHeight="1">
      <c r="A205" s="17" t="str">
        <f>HYPERLINK("https://vimeo.com/122355865","Pigeon Stretch")</f>
        <v>Pigeon Stretch</v>
      </c>
      <c r="B205" s="11" t="s">
        <v>25</v>
      </c>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45" customHeight="1">
      <c r="A206" s="17" t="str">
        <f>HYPERLINK("https://vimeo.com/122355867","Piriformis Mobilization")</f>
        <v>Piriformis Mobilization</v>
      </c>
      <c r="B206" s="11" t="s">
        <v>211</v>
      </c>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45" customHeight="1">
      <c r="A207" s="17" t="str">
        <f>HYPERLINK("https://vimeo.com/122355869","Plank")</f>
        <v>Plank</v>
      </c>
      <c r="B207" s="11" t="s">
        <v>52</v>
      </c>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45" customHeight="1">
      <c r="A208" s="17" t="str">
        <f>HYPERLINK("https://vimeo.com/122356279","Plank Arm March")</f>
        <v>Plank Arm March</v>
      </c>
      <c r="B208" s="11" t="s">
        <v>79</v>
      </c>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45" customHeight="1">
      <c r="A209" s="17" t="str">
        <f>HYPERLINK("https://vimeo.com/122356280","Plate Squat")</f>
        <v>Plate Squat</v>
      </c>
      <c r="B209" s="4" t="s">
        <v>128</v>
      </c>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45" customHeight="1">
      <c r="A210" s="17" t="str">
        <f>HYPERLINK("https://vimeo.com/122356281","Prisoner Squat")</f>
        <v>Prisoner Squat</v>
      </c>
      <c r="B210" s="11" t="s">
        <v>212</v>
      </c>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45" customHeight="1">
      <c r="A211" s="17" t="str">
        <f>HYPERLINK("https://vimeo.com/122356283","Pronated-Grip Seated Band Row")</f>
        <v>Pronated-Grip Seated Band Row</v>
      </c>
      <c r="B211" s="11" t="s">
        <v>110</v>
      </c>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45" customHeight="1">
      <c r="A212" s="17" t="str">
        <f>HYPERLINK("https://vimeo.com/122356284","Pronated-Grip Seated Cable Row")</f>
        <v>Pronated-Grip Seated Cable Row</v>
      </c>
      <c r="B212" s="11" t="s">
        <v>116</v>
      </c>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45" customHeight="1">
      <c r="A213" s="17" t="str">
        <f>HYPERLINK("https://vimeo.com/122357009","Prone Hip External Rotation")</f>
        <v>Prone Hip External Rotation</v>
      </c>
      <c r="B213" s="11" t="s">
        <v>7</v>
      </c>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45" customHeight="1">
      <c r="A214" s="17" t="str">
        <f>HYPERLINK("https://vimeo.com/122357012","Prone Hip Internal Rotation")</f>
        <v>Prone Hip Internal Rotation</v>
      </c>
      <c r="B214" s="11" t="s">
        <v>8</v>
      </c>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45" customHeight="1">
      <c r="A215" s="17" t="str">
        <f>HYPERLINK("https://vimeo.com/122357013","Prone Hip-Flexed Rocking")</f>
        <v>Prone Hip-Flexed Rocking</v>
      </c>
      <c r="B215" s="11" t="s">
        <v>9</v>
      </c>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45" customHeight="1">
      <c r="A216" s="17" t="str">
        <f>HYPERLINK("https://vimeo.com/122357018","Prone Row to External Rotation")</f>
        <v>Prone Row to External Rotation</v>
      </c>
      <c r="B216" s="11" t="s">
        <v>174</v>
      </c>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45" customHeight="1">
      <c r="A217" s="17" t="str">
        <f>HYPERLINK("https://vimeo.com/122357020","Prone T Raise")</f>
        <v>Prone T Raise</v>
      </c>
      <c r="B217" s="4" t="s">
        <v>175</v>
      </c>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45" customHeight="1">
      <c r="A218" s="17" t="str">
        <f>HYPERLINK("https://vimeo.com/122357898","Prone Y Raise")</f>
        <v>Prone Y Raise</v>
      </c>
      <c r="B218" s="11" t="s">
        <v>213</v>
      </c>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45" customHeight="1">
      <c r="A219" s="17" t="str">
        <f>HYPERLINK("https://vimeo.com/122357899","Prone YTI")</f>
        <v>Prone YTI</v>
      </c>
      <c r="B219" s="11" t="s">
        <v>176</v>
      </c>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45" customHeight="1">
      <c r="A220" s="17" t="str">
        <f>HYPERLINK("https://vimeo.com/122357901","Pull-Up")</f>
        <v>Pull-Up</v>
      </c>
      <c r="B220" s="11" t="s">
        <v>121</v>
      </c>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45" customHeight="1">
      <c r="A221" s="17" t="str">
        <f>HYPERLINK("https://vimeo.com/122357902","Pull-Up With Iso")</f>
        <v>Pull-Up With Iso</v>
      </c>
      <c r="B221" s="11" t="s">
        <v>121</v>
      </c>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45" customHeight="1">
      <c r="A222" s="17" t="str">
        <f>HYPERLINK("https://vimeo.com/122357903","Pushup")</f>
        <v>Pushup</v>
      </c>
      <c r="B222" s="11" t="s">
        <v>89</v>
      </c>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45" customHeight="1">
      <c r="A223" s="17" t="str">
        <f>HYPERLINK("https://vimeo.com/122358303","Pushup Iso")</f>
        <v>Pushup Iso</v>
      </c>
      <c r="B223" s="11" t="s">
        <v>92</v>
      </c>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45" customHeight="1">
      <c r="A224" s="17" t="str">
        <f>HYPERLINK("https://vimeo.com/122358304","Pushup to Single-Arm Support")</f>
        <v>Pushup to Single-Arm Support</v>
      </c>
      <c r="B224" s="11" t="s">
        <v>90</v>
      </c>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45" customHeight="1">
      <c r="A225" s="17" t="str">
        <f>HYPERLINK("https://vimeo.com/122358306","Quadruped Extension-Rotation")</f>
        <v>Quadruped Extension-Rotation</v>
      </c>
      <c r="B225" s="11" t="s">
        <v>16</v>
      </c>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45" customHeight="1">
      <c r="A226" s="17" t="str">
        <f>HYPERLINK("https://vimeo.com/122680197","Quadruped Rock Back")</f>
        <v>Quadruped Rock Back</v>
      </c>
      <c r="B226" s="11" t="s">
        <v>17</v>
      </c>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45" customHeight="1">
      <c r="A227" s="17" t="str">
        <f>HYPERLINK("https://vimeo.com/122680210","Rack Pull")</f>
        <v>Rack Pull</v>
      </c>
      <c r="B227" s="11" t="s">
        <v>190</v>
      </c>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45" customHeight="1">
      <c r="A228" s="17" t="str">
        <f>HYPERLINK("https://vimeo.com/122680203","Reach, Rock, Lift")</f>
        <v>Reach, Rock, Lift</v>
      </c>
      <c r="B228" s="11" t="s">
        <v>214</v>
      </c>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45" customHeight="1">
      <c r="A229" s="17" t="str">
        <f>HYPERLINK("https://vimeo.com/122680204","Rear-Foot-Elevated Barbell Split Squat")</f>
        <v>Rear-Foot-Elevated Barbell Split Squat</v>
      </c>
      <c r="B229" s="4" t="s">
        <v>215</v>
      </c>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45" customHeight="1">
      <c r="A230" s="17" t="str">
        <f>HYPERLINK("https://vimeo.com/122680206","Rear-Foot-Elevated Bodyweight Split Squat")</f>
        <v>Rear-Foot-Elevated Bodyweight Split Squat</v>
      </c>
      <c r="B230" s="4" t="s">
        <v>215</v>
      </c>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45" customHeight="1">
      <c r="A231" s="17" t="str">
        <f>HYPERLINK("https://vimeo.com/122681423","Rear-Foot-Elevated Dumbbell Split Squat")</f>
        <v>Rear-Foot-Elevated Dumbbell Split Squat</v>
      </c>
      <c r="B231" s="4" t="s">
        <v>215</v>
      </c>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45" customHeight="1">
      <c r="A232" s="17" t="str">
        <f>HYPERLINK("https://vimeo.com/122681426","Rear-Foot-Elevated Dumbbell Split Squat Jump")</f>
        <v>Rear-Foot-Elevated Dumbbell Split Squat Jump</v>
      </c>
      <c r="B232" s="4" t="s">
        <v>216</v>
      </c>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45" customHeight="1">
      <c r="A233" s="17" t="str">
        <f>HYPERLINK("https://vimeo.com/122681428","Rear-Foot-Elevated Goblet Split Squat")</f>
        <v>Rear-Foot-Elevated Goblet Split Squat</v>
      </c>
      <c r="B233" s="4" t="s">
        <v>215</v>
      </c>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45" customHeight="1">
      <c r="A234" s="17" t="str">
        <f>HYPERLINK("https://vimeo.com/122681434","Rear-Foot-Elevated Single-Arm Dumbbell Split Squat")</f>
        <v>Rear-Foot-Elevated Single-Arm Dumbbell Split Squat</v>
      </c>
      <c r="B234" s="4" t="s">
        <v>215</v>
      </c>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45" customHeight="1">
      <c r="A235" s="17" t="str">
        <f>HYPERLINK("https://vimeo.com/122683372","Renegade Row")</f>
        <v>Renegade Row</v>
      </c>
      <c r="B235" s="11" t="s">
        <v>114</v>
      </c>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45" customHeight="1">
      <c r="A236" s="17" t="str">
        <f>HYPERLINK("https://vimeo.com/122683374","Renegade Row With Pushup")</f>
        <v>Renegade Row With Pushup</v>
      </c>
      <c r="B236" s="11" t="s">
        <v>95</v>
      </c>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45" customHeight="1">
      <c r="A237" s="17" t="str">
        <f>HYPERLINK("https://vimeo.com/122683375","Renegade Row With Pushup and Feet Elevated")</f>
        <v>Renegade Row With Pushup and Feet Elevated</v>
      </c>
      <c r="B237" s="11" t="s">
        <v>95</v>
      </c>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45" customHeight="1">
      <c r="A238" s="17" t="str">
        <f>HYPERLINK("https://vimeo.com/122683376","Reverse Crunch")</f>
        <v>Reverse Crunch</v>
      </c>
      <c r="B238" s="11" t="s">
        <v>68</v>
      </c>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45" customHeight="1">
      <c r="A239" s="17" t="str">
        <f>HYPERLINK("https://vimeo.com/122683377","Reverse Landmine Lunge")</f>
        <v>Reverse Landmine Lunge</v>
      </c>
      <c r="B239" s="11" t="s">
        <v>134</v>
      </c>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45" customHeight="1">
      <c r="A240" s="17" t="str">
        <f>HYPERLINK("https://vimeo.com/122683810","Reverse Lunge With Posterolateral Reach")</f>
        <v>Reverse Lunge With Posterolateral Reach</v>
      </c>
      <c r="B240" s="11" t="s">
        <v>38</v>
      </c>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45" customHeight="1">
      <c r="A241" s="17" t="str">
        <f>HYPERLINK("https://vimeo.com/122683813","Reverse Pattern Single-Leg Romanian Deadlift")</f>
        <v>Reverse Pattern Single-Leg Romanian Deadlift</v>
      </c>
      <c r="B241" s="11" t="s">
        <v>217</v>
      </c>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45" customHeight="1">
      <c r="A242" s="17" t="str">
        <f>HYPERLINK("https://vimeo.com/122683815","Ribs-Down Breathing")</f>
        <v>Ribs-Down Breathing</v>
      </c>
      <c r="B242" s="11" t="s">
        <v>218</v>
      </c>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45" customHeight="1">
      <c r="A243" s="17" t="str">
        <f>HYPERLINK("https://vimeo.com/122683816","Ring Plank")</f>
        <v>Ring Plank</v>
      </c>
      <c r="B243" s="11" t="s">
        <v>52</v>
      </c>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45" customHeight="1">
      <c r="A244" s="17" t="str">
        <f>HYPERLINK("https://vimeo.com/122683819","Ring Pushup")</f>
        <v>Ring Pushup</v>
      </c>
      <c r="B244" s="11" t="s">
        <v>89</v>
      </c>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45" customHeight="1">
      <c r="A245" s="17" t="str">
        <f>HYPERLINK("https://vimeo.com/122684195","Ring Row")</f>
        <v>Ring Row</v>
      </c>
      <c r="B245" s="4" t="s">
        <v>120</v>
      </c>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45" customHeight="1">
      <c r="A246" s="17" t="str">
        <f>HYPERLINK("https://vimeo.com/122684196","Ring Row With Feet Elevated")</f>
        <v>Ring Row With Feet Elevated</v>
      </c>
      <c r="B246" s="4" t="s">
        <v>120</v>
      </c>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45" customHeight="1">
      <c r="A247" s="17" t="str">
        <f>HYPERLINK("https://vimeo.com/122684197","Rocked-Back Quadruped Extension-Rotation")</f>
        <v>Rocked-Back Quadruped Extension-Rotation</v>
      </c>
      <c r="B247" s="11" t="s">
        <v>219</v>
      </c>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45" customHeight="1">
      <c r="A248" s="17" t="str">
        <f>HYPERLINK("https://vimeo.com/122684199","Rocking Ankle Mobilization")</f>
        <v>Rocking Ankle Mobilization</v>
      </c>
      <c r="B248" s="11" t="s">
        <v>10</v>
      </c>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45" customHeight="1">
      <c r="A249" s="17" t="str">
        <f>HYPERLINK("https://vimeo.com/122684200","Romanian Deadlift With Dowel")</f>
        <v>Romanian Deadlift With Dowel</v>
      </c>
      <c r="B249" s="11" t="s">
        <v>220</v>
      </c>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45" customHeight="1">
      <c r="A250" s="17" t="str">
        <f>HYPERLINK("https://vimeo.com/122796172","Salute Plank")</f>
        <v>Salute Plank</v>
      </c>
      <c r="B250" s="11" t="s">
        <v>76</v>
      </c>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45" customHeight="1">
      <c r="A251" s="17" t="str">
        <f>HYPERLINK("https://vimeo.com/122796173","Scalene and Upper Trap Mobilization With Lacrosse Ball")</f>
        <v>Scalene and Upper Trap Mobilization With Lacrosse Ball</v>
      </c>
      <c r="B251" s="4" t="s">
        <v>34</v>
      </c>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45" customHeight="1">
      <c r="A252" s="17" t="str">
        <f>HYPERLINK("https://vimeo.com/122796175","Scapular Pushup")</f>
        <v>Scapular Pushup</v>
      </c>
      <c r="B252" s="11" t="s">
        <v>18</v>
      </c>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45" customHeight="1">
      <c r="A253" s="17" t="str">
        <f>HYPERLINK("https://vimeo.com/122796177","Scapular Pushup on Elbows")</f>
        <v>Scapular Pushup on Elbows</v>
      </c>
      <c r="B253" s="11" t="s">
        <v>11</v>
      </c>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45" customHeight="1">
      <c r="A254" s="17" t="str">
        <f>HYPERLINK("https://vimeo.com/122796178","Scapular Wall-Slide")</f>
        <v>Scapular Wall-Slide</v>
      </c>
      <c r="B254" s="4" t="s">
        <v>26</v>
      </c>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45" customHeight="1">
      <c r="A255" s="17" t="str">
        <f>HYPERLINK("https://vimeo.com/122797098","Seated Dumbbell Curl")</f>
        <v>Seated Dumbbell Curl</v>
      </c>
      <c r="B255" s="11" t="s">
        <v>151</v>
      </c>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45" customHeight="1">
      <c r="A256" s="17" t="str">
        <f>HYPERLINK("https://vimeo.com/122797099","Seated Dumbbell Overhead Press")</f>
        <v>Seated Dumbbell Overhead Press</v>
      </c>
      <c r="B256" s="11" t="s">
        <v>104</v>
      </c>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45" customHeight="1">
      <c r="A257" s="17" t="str">
        <f>HYPERLINK("https://vimeo.com/122797100","Side Plank")</f>
        <v>Side Plank</v>
      </c>
      <c r="B257" s="11" t="s">
        <v>57</v>
      </c>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45" customHeight="1">
      <c r="A258" s="17" t="str">
        <f>HYPERLINK("https://vimeo.com/122797103","Side Plank Wall-Slide")</f>
        <v>Side Plank Wall-Slide</v>
      </c>
      <c r="B258" s="4" t="s">
        <v>61</v>
      </c>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45" customHeight="1">
      <c r="A259" s="17" t="str">
        <f>HYPERLINK("https://vimeo.com/122797104","Side Plank Wall-Slide With Arm Abducted")</f>
        <v>Side Plank Wall-Slide With Arm Abducted</v>
      </c>
      <c r="B259" s="4" t="s">
        <v>61</v>
      </c>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45" customHeight="1">
      <c r="A260" s="17" t="str">
        <f>HYPERLINK("https://vimeo.com/122797362","Side Plank With Row")</f>
        <v>Side Plank With Row</v>
      </c>
      <c r="B260" s="11" t="s">
        <v>58</v>
      </c>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45" customHeight="1">
      <c r="A261" s="17" t="str">
        <f>HYPERLINK("https://vimeo.com/122797363","Side-Lying Banded External Rotation With Abduction")</f>
        <v>Side-Lying Banded External Rotation With Abduction</v>
      </c>
      <c r="B261" s="11" t="s">
        <v>165</v>
      </c>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45" customHeight="1">
      <c r="A262" s="17" t="str">
        <f>HYPERLINK("https://vimeo.com/122797364","Side-Lying Cable External Rotation With Abduction")</f>
        <v>Side-Lying Cable External Rotation With Abduction</v>
      </c>
      <c r="B262" s="11" t="s">
        <v>165</v>
      </c>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45" customHeight="1">
      <c r="A263" s="17" t="str">
        <f>HYPERLINK("https://vimeo.com/122797365","Side-Lying Clam Shell")</f>
        <v>Side-Lying Clam Shell</v>
      </c>
      <c r="B263" s="11" t="s">
        <v>27</v>
      </c>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45" customHeight="1">
      <c r="A264" s="17" t="str">
        <f>HYPERLINK("https://vimeo.com/122797370","Side-Lying Dumbbell External Rotation With Abduction")</f>
        <v>Side-Lying Dumbbell External Rotation With Abduction</v>
      </c>
      <c r="B264" s="11" t="s">
        <v>165</v>
      </c>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45" customHeight="1">
      <c r="A265" s="17" t="str">
        <f>HYPERLINK("https://vimeo.com/122798046","Side-Lying Extension Rotation")</f>
        <v>Side-Lying Extension Rotation</v>
      </c>
      <c r="B265" s="11" t="s">
        <v>221</v>
      </c>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45" customHeight="1">
      <c r="A266" s="17" t="str">
        <f>HYPERLINK("https://vimeo.com/122798049","Side-Lying Windmill")</f>
        <v>Side-Lying Windmill</v>
      </c>
      <c r="B266" s="11" t="s">
        <v>35</v>
      </c>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45" customHeight="1">
      <c r="A267" s="17" t="str">
        <f>HYPERLINK("https://vimeo.com/122798050","Single-Arm Band Pull-Apart")</f>
        <v>Single-Arm Band Pull-Apart</v>
      </c>
      <c r="B267" s="11" t="s">
        <v>166</v>
      </c>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45" customHeight="1">
      <c r="A268" s="17" t="str">
        <f>HYPERLINK("https://vimeo.com/122798052","Single-Arm Band Row")</f>
        <v>Single-Arm Band Row</v>
      </c>
      <c r="B268" s="4" t="s">
        <v>222</v>
      </c>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45" customHeight="1">
      <c r="A269" s="17" t="str">
        <f>HYPERLINK("https://vimeo.com/122798055","Single-Arm Dumbbell Bench Press")</f>
        <v>Single-Arm Dumbbell Bench Press</v>
      </c>
      <c r="B269" s="11" t="s">
        <v>88</v>
      </c>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45" customHeight="1">
      <c r="A270" s="17" t="str">
        <f>HYPERLINK("https://vimeo.com/122798380","Single-Arm Dumbbell Curl")</f>
        <v>Single-Arm Dumbbell Curl</v>
      </c>
      <c r="B270" s="11" t="s">
        <v>151</v>
      </c>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45" customHeight="1">
      <c r="A271" s="17" t="str">
        <f>HYPERLINK("https://vimeo.com/122798383","Single-Arm Dumbbell Floor Press")</f>
        <v>Single-Arm Dumbbell Floor Press</v>
      </c>
      <c r="B271" s="11" t="s">
        <v>86</v>
      </c>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45" customHeight="1">
      <c r="A272" s="17" t="str">
        <f>HYPERLINK("https://vimeo.com/122798382","Single-Arm Dumbbell Push Press")</f>
        <v>Single-Arm Dumbbell Push Press</v>
      </c>
      <c r="B272" s="11" t="s">
        <v>105</v>
      </c>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45" customHeight="1">
      <c r="A273" s="17" t="str">
        <f>HYPERLINK("https://vimeo.com/122798381","Single-Arm Dumbbell Reverse Lunge")</f>
        <v>Single-Arm Dumbbell Reverse Lunge</v>
      </c>
      <c r="B273" s="11" t="s">
        <v>138</v>
      </c>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45" customHeight="1">
      <c r="A274" s="17" t="str">
        <f>HYPERLINK("https://vimeo.com/123132858","Single-Arm Dumbbell Reverse Lunge From Deficit")</f>
        <v>Single-Arm Dumbbell Reverse Lunge From Deficit</v>
      </c>
      <c r="B274" s="11" t="s">
        <v>138</v>
      </c>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45" customHeight="1">
      <c r="A275" s="17" t="str">
        <f>HYPERLINK("https://vimeo.com/123132860","Single-Arm Dumbbell Reverse Lunge to Romanian Deadlift")</f>
        <v>Single-Arm Dumbbell Reverse Lunge to Romanian Deadlift</v>
      </c>
      <c r="B275" s="11" t="s">
        <v>141</v>
      </c>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45" customHeight="1">
      <c r="A276" s="17" t="str">
        <f>HYPERLINK("https://vimeo.com/123132863","Single-Arm Dumbbell Reverse Lunge With Blocked Knee")</f>
        <v>Single-Arm Dumbbell Reverse Lunge With Blocked Knee</v>
      </c>
      <c r="B276" s="11" t="s">
        <v>138</v>
      </c>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45" customHeight="1">
      <c r="A277" s="17" t="str">
        <f>HYPERLINK("https://vimeo.com/123132864","Single-Arm Dumbbell Romanian Deadlift")</f>
        <v>Single-Arm Dumbbell Romanian Deadlift</v>
      </c>
      <c r="B277" s="11" t="s">
        <v>223</v>
      </c>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45" customHeight="1">
      <c r="A278" s="17" t="str">
        <f>HYPERLINK("https://vimeo.com/123132865","Single-Arm Dumbbell Row")</f>
        <v>Single-Arm Dumbbell Row</v>
      </c>
      <c r="B278" s="4" t="s">
        <v>113</v>
      </c>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45" customHeight="1">
      <c r="A279" s="17" t="str">
        <f>HYPERLINK("https://vimeo.com/123133279","Single-Arm Dumbbell Slideboard Reverse Lunge")</f>
        <v>Single-Arm Dumbbell Slideboard Reverse Lunge</v>
      </c>
      <c r="B279" s="11" t="s">
        <v>138</v>
      </c>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45" customHeight="1">
      <c r="A280" s="17" t="str">
        <f>HYPERLINK("https://vimeo.com/123133281","Single-Arm Dumbbell Split Squat")</f>
        <v>Single-Arm Dumbbell Split Squat</v>
      </c>
      <c r="B280" s="11" t="s">
        <v>139</v>
      </c>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45" customHeight="1">
      <c r="A281" s="17" t="str">
        <f>HYPERLINK("https://vimeo.com/123133283","Single-Arm Dumbbell Step-Up")</f>
        <v>Single-Arm Dumbbell Step-Up</v>
      </c>
      <c r="B281" s="11" t="s">
        <v>224</v>
      </c>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45" customHeight="1">
      <c r="A282" s="17" t="str">
        <f>HYPERLINK("https://vimeo.com/123133284","Single-Arm Face Pull")</f>
        <v>Single-Arm Face Pull</v>
      </c>
      <c r="B282" s="11" t="s">
        <v>167</v>
      </c>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45" customHeight="1">
      <c r="A283" s="17" t="str">
        <f>HYPERLINK("https://vimeo.com/123133285","Single-Arm Half-Kneeling Band Press")</f>
        <v>Single-Arm Half-Kneeling Band Press</v>
      </c>
      <c r="B283" s="11" t="s">
        <v>100</v>
      </c>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45" customHeight="1">
      <c r="A284" s="17" t="str">
        <f>HYPERLINK("https://vimeo.com/123134151","Single-Arm Half-Kneeling Band Pull-Down")</f>
        <v>Single-Arm Half-Kneeling Band Pull-Down</v>
      </c>
      <c r="B284" s="11" t="s">
        <v>123</v>
      </c>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45" customHeight="1">
      <c r="A285" s="17" t="str">
        <f>HYPERLINK("https://vimeo.com/123134152","Single-Arm Half-Kneeling Band Row")</f>
        <v>Single-Arm Half-Kneeling Band Row</v>
      </c>
      <c r="B285" s="4" t="s">
        <v>225</v>
      </c>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45" customHeight="1">
      <c r="A286" s="17" t="str">
        <f>HYPERLINK("https://vimeo.com/123134155","Single-Arm Half-Kneeling Cable Press")</f>
        <v>Single-Arm Half-Kneeling Cable Press</v>
      </c>
      <c r="B286" s="11" t="s">
        <v>101</v>
      </c>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45" customHeight="1">
      <c r="A287" s="17" t="str">
        <f>HYPERLINK("https://vimeo.com/123134157","Single-Arm Half-Kneeling Cable Row")</f>
        <v>Single-Arm Half-Kneeling Cable Row</v>
      </c>
      <c r="B287" s="4" t="s">
        <v>226</v>
      </c>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45" customHeight="1">
      <c r="A288" s="17" t="str">
        <f>HYPERLINK("https://vimeo.com/123134159","Single-Arm Hands-Elevated Pushup")</f>
        <v>Single-Arm Hands-Elevated Pushup</v>
      </c>
      <c r="B288" s="11" t="s">
        <v>96</v>
      </c>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45" customHeight="1">
      <c r="A289" s="17" t="str">
        <f>HYPERLINK("https://vimeo.com/123135206","Single-Arm Landmine Press")</f>
        <v>Single-Arm Landmine Press</v>
      </c>
      <c r="B289" s="11" t="s">
        <v>227</v>
      </c>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45" customHeight="1">
      <c r="A290" s="17" t="str">
        <f>HYPERLINK("https://vimeo.com/123135208","Single-Arm Landmine Row")</f>
        <v>Single-Arm Landmine Row</v>
      </c>
      <c r="B290" s="4" t="s">
        <v>113</v>
      </c>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45" customHeight="1">
      <c r="A291" s="17" t="str">
        <f>HYPERLINK("https://vimeo.com/123135211","Single-Arm Lying Dumbbell Rolling Triceps Extension")</f>
        <v>Single-Arm Lying Dumbbell Rolling Triceps Extension</v>
      </c>
      <c r="B291" s="11" t="s">
        <v>159</v>
      </c>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45" customHeight="1">
      <c r="A292" s="17" t="str">
        <f>HYPERLINK("https://vimeo.com/123135213","Single-Arm Lying Dumbbell Triceps Extension")</f>
        <v>Single-Arm Lying Dumbbell Triceps Extension</v>
      </c>
      <c r="B292" s="11" t="s">
        <v>158</v>
      </c>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45" customHeight="1">
      <c r="A293" s="17" t="str">
        <f>HYPERLINK("https://vimeo.com/123135215","Single-Arm Overhead Band Press")</f>
        <v>Single-Arm Overhead Band Press</v>
      </c>
      <c r="B293" s="11" t="s">
        <v>210</v>
      </c>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45" customHeight="1">
      <c r="A294" s="17" t="str">
        <f>HYPERLINK("https://vimeo.com/123135698","Single-Arm Overhead Dumbbell Reverse Lunge")</f>
        <v>Single-Arm Overhead Dumbbell Reverse Lunge</v>
      </c>
      <c r="B294" s="11" t="s">
        <v>138</v>
      </c>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45" customHeight="1">
      <c r="A295" s="17" t="str">
        <f>HYPERLINK("https://vimeo.com/123135701","Single-Arm Overhead Dumbbell Reverse Lunge From Deficit")</f>
        <v>Single-Arm Overhead Dumbbell Reverse Lunge From Deficit</v>
      </c>
      <c r="B295" s="11" t="s">
        <v>76</v>
      </c>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45" customHeight="1">
      <c r="A296" s="17" t="str">
        <f>HYPERLINK("https://vimeo.com/123135699","Single-Arm Plank")</f>
        <v>Single-Arm Plank</v>
      </c>
      <c r="B296" s="11" t="s">
        <v>153</v>
      </c>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45" customHeight="1">
      <c r="A297" s="17" t="str">
        <f>HYPERLINK("https://vimeo.com/123135700","Single-Arm Plate Curl")</f>
        <v>Single-Arm Plate Curl</v>
      </c>
      <c r="B297" s="11" t="s">
        <v>104</v>
      </c>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45" customHeight="1">
      <c r="A298" s="17" t="str">
        <f>HYPERLINK("https://vimeo.com/123357701","Single-Arm Seated Overhead Dumbbell Press")</f>
        <v>Single-Arm Seated Overhead Dumbbell Press</v>
      </c>
      <c r="B298" s="11" t="s">
        <v>228</v>
      </c>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45" customHeight="1">
      <c r="A299" s="17" t="str">
        <f>HYPERLINK("https://vimeo.com/123357703","Single-Arm Standing Band Row")</f>
        <v>Single-Arm Standing Band Row</v>
      </c>
      <c r="B299" s="11" t="s">
        <v>229</v>
      </c>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45" customHeight="1">
      <c r="A300" s="17" t="str">
        <f>HYPERLINK("https://vimeo.com/123357704","Single-Arm Standing Cable Row")</f>
        <v>Single-Arm Standing Cable Row</v>
      </c>
      <c r="B300" s="11" t="s">
        <v>102</v>
      </c>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45" customHeight="1">
      <c r="A301" s="17" t="str">
        <f>HYPERLINK("https://vimeo.com/123357705","Single-Arm Standing Split-Stance Band Press")</f>
        <v>Single-Arm Standing Split-Stance Band Press</v>
      </c>
      <c r="B301" s="4" t="s">
        <v>111</v>
      </c>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45" customHeight="1">
      <c r="A302" s="17" t="str">
        <f>HYPERLINK("https://vimeo.com/123357706","Single-Arm Standing Split-Stance Band Row")</f>
        <v>Single-Arm Standing Split-Stance Band Row</v>
      </c>
      <c r="B302" s="11" t="s">
        <v>103</v>
      </c>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45" customHeight="1">
      <c r="A303" s="17" t="str">
        <f>HYPERLINK("https://vimeo.com/123357938","Single-Arm Standing Split-Stance Cable Press")</f>
        <v>Single-Arm Standing Split-Stance Cable Press</v>
      </c>
      <c r="B303" s="4" t="s">
        <v>117</v>
      </c>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45" customHeight="1">
      <c r="A304" s="17" t="str">
        <f>HYPERLINK("https://vimeo.com/123357940","Single-Arm Standing Split-Stance Cable Row")</f>
        <v>Single-Arm Standing Split-Stance Cable Row</v>
      </c>
      <c r="B304" s="11" t="s">
        <v>230</v>
      </c>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45" customHeight="1">
      <c r="A305" s="17" t="str">
        <f>HYPERLINK("https://vimeo.com/123357942","Single-Arm Tall-Kneeling Overhead Dumbbell Press")</f>
        <v>Single-Arm Tall-Kneeling Overhead Dumbbell Press</v>
      </c>
      <c r="B305" s="11" t="s">
        <v>231</v>
      </c>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45" customHeight="1">
      <c r="A306" s="17" t="str">
        <f>HYPERLINK("https://vimeo.com/123357943","Single-Arm Walking Dumbbell Farmer’s Carry")</f>
        <v>Single-Arm Walking Dumbbell Farmer’s Carry</v>
      </c>
      <c r="B306" s="11" t="s">
        <v>93</v>
      </c>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45" customHeight="1">
      <c r="A307" s="17" t="str">
        <f>HYPERLINK("https://vimeo.com/123357944","Single-Leg Band-Resisted Pushup")</f>
        <v>Single-Leg Band-Resisted Pushup</v>
      </c>
      <c r="B307" s="4" t="s">
        <v>149</v>
      </c>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45" customHeight="1">
      <c r="A308" s="17" t="str">
        <f>HYPERLINK("https://vimeo.com/123358253","Single-Leg Band-Resisted Romanian Deadlift")</f>
        <v>Single-Leg Band-Resisted Romanian Deadlift</v>
      </c>
      <c r="B308" s="11" t="s">
        <v>232</v>
      </c>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45" customHeight="1">
      <c r="A309" s="17" t="str">
        <f>HYPERLINK("https://vimeo.com/123358255","Single-Leg Barbell Glute Bridge")</f>
        <v>Single-Leg Barbell Glute Bridge</v>
      </c>
      <c r="B309" s="11" t="s">
        <v>233</v>
      </c>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45" customHeight="1">
      <c r="A310" s="17" t="str">
        <f>HYPERLINK("https://vimeo.com/123358259","Single-Leg Barbell Romanian Deadlift")</f>
        <v>Single-Leg Barbell Romanian Deadlift</v>
      </c>
      <c r="B310" s="11" t="s">
        <v>233</v>
      </c>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45" customHeight="1">
      <c r="A311" s="17" t="str">
        <f>HYPERLINK("https://vimeo.com/123358261","Single-Leg Dumbbell Romanian Deadlift")</f>
        <v>Single-Leg Dumbbell Romanian Deadlift</v>
      </c>
      <c r="B311" s="11" t="s">
        <v>143</v>
      </c>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45" customHeight="1">
      <c r="A312" s="17" t="str">
        <f>HYPERLINK("https://vimeo.com/123358262","Single-Leg Eccentric Squat to Box")</f>
        <v>Single-Leg Eccentric Squat to Box</v>
      </c>
      <c r="B312" s="11" t="s">
        <v>93</v>
      </c>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45" customHeight="1">
      <c r="A313" s="17" t="str">
        <f>HYPERLINK("https://vimeo.com/123358566","Single-Leg Feet-Elevated Band-Resisted Pushup")</f>
        <v>Single-Leg Feet-Elevated Band-Resisted Pushup</v>
      </c>
      <c r="B313" s="11" t="s">
        <v>93</v>
      </c>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45" customHeight="1">
      <c r="A314" s="17" t="str">
        <f>HYPERLINK("https://vimeo.com/123358570","Single-Leg Feet-Elevated Pushup")</f>
        <v>Single-Leg Feet-Elevated Pushup</v>
      </c>
      <c r="B314" s="4" t="s">
        <v>12</v>
      </c>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45" customHeight="1">
      <c r="A315" s="17" t="str">
        <f>HYPERLINK("https://vimeo.com/123358572","Single-Leg Glute Bridge")</f>
        <v>Single-Leg Glute Bridge</v>
      </c>
      <c r="B315" s="11" t="s">
        <v>146</v>
      </c>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45" customHeight="1">
      <c r="A316" s="17" t="str">
        <f>HYPERLINK("https://vimeo.com/123358573","Single-Leg Hip Thrust")</f>
        <v>Single-Leg Hip Thrust</v>
      </c>
      <c r="B316" s="11" t="s">
        <v>234</v>
      </c>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45" customHeight="1">
      <c r="A317" s="17" t="str">
        <f>HYPERLINK("https://vimeo.com/123358578","Single-Leg Offset Dumbbell Romanian Deadlift")</f>
        <v>Single-Leg Offset Dumbbell Romanian Deadlift</v>
      </c>
      <c r="B317" s="11" t="s">
        <v>77</v>
      </c>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45" customHeight="1">
      <c r="A318" s="17" t="str">
        <f>HYPERLINK("https://vimeo.com/123358822","Single-Leg Plank")</f>
        <v>Single-Leg Plank</v>
      </c>
      <c r="B318" s="11" t="s">
        <v>93</v>
      </c>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45" customHeight="1">
      <c r="A319" s="17" t="str">
        <f>HYPERLINK("https://vimeo.com/123358825","Single-Leg Pushup")</f>
        <v>Single-Leg Pushup</v>
      </c>
      <c r="B319" s="11" t="s">
        <v>94</v>
      </c>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45" customHeight="1">
      <c r="A320" s="17" t="str">
        <f>HYPERLINK("https://vimeo.com/123358827","Single-Leg Pushup Iso")</f>
        <v>Single-Leg Pushup Iso</v>
      </c>
      <c r="B320" s="11" t="s">
        <v>233</v>
      </c>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45" customHeight="1">
      <c r="A321" s="17" t="str">
        <f>HYPERLINK("https://vimeo.com/123358826","Single-Leg Single-Arm Dumbbell Romanian Deadlift")</f>
        <v>Single-Leg Single-Arm Dumbbell Romanian Deadlift</v>
      </c>
      <c r="B321" s="11" t="s">
        <v>55</v>
      </c>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45" customHeight="1">
      <c r="A322" s="17" t="str">
        <f>HYPERLINK("https://vimeo.com/123358828","Single-Leg Slideboard Bodysaw")</f>
        <v>Single-Leg Slideboard Bodysaw</v>
      </c>
      <c r="B322" s="11" t="s">
        <v>147</v>
      </c>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45" customHeight="1">
      <c r="A323" s="17" t="str">
        <f>HYPERLINK("https://vimeo.com/123729972","Single-Leg Slideboard Leg Curl")</f>
        <v>Single-Leg Slideboard Leg Curl</v>
      </c>
      <c r="B323" s="11" t="s">
        <v>144</v>
      </c>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45" customHeight="1">
      <c r="A324" s="17" t="str">
        <f>HYPERLINK("https://vimeo.com/123729973","Single-Leg Squat to Box")</f>
        <v>Single-Leg Squat to Box</v>
      </c>
      <c r="B324" s="11" t="s">
        <v>148</v>
      </c>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45" customHeight="1">
      <c r="A325" s="17" t="str">
        <f>HYPERLINK("https://vimeo.com/123729975","Single-Leg Supine Hips-Elevated Leg Curl")</f>
        <v>Single-Leg Supine Hips-Elevated Leg Curl</v>
      </c>
      <c r="B325" s="11" t="s">
        <v>55</v>
      </c>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45" customHeight="1">
      <c r="A326" s="17" t="str">
        <f>HYPERLINK("https://vimeo.com/123729976","Slideboard Bodysaw")</f>
        <v>Slideboard Bodysaw</v>
      </c>
      <c r="B326" s="11" t="s">
        <v>235</v>
      </c>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45" customHeight="1">
      <c r="A327" s="17" t="str">
        <f>HYPERLINK("https://vimeo.com/123729977","Slideboard Leg Curl")</f>
        <v>Slideboard Leg Curl</v>
      </c>
      <c r="B327" s="11" t="s">
        <v>97</v>
      </c>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45" customHeight="1">
      <c r="A328" s="17" t="str">
        <f>HYPERLINK("https://vimeo.com/123731145","Spiderman Pushup")</f>
        <v>Spiderman Pushup</v>
      </c>
      <c r="B328" s="11" t="s">
        <v>105</v>
      </c>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45" customHeight="1">
      <c r="A329" s="17" t="str">
        <f>HYPERLINK("https://vimeo.com/123731146","Split-Stance Dumbbell Push Press")</f>
        <v>Split-Stance Dumbbell Push Press</v>
      </c>
      <c r="B329" s="11" t="s">
        <v>236</v>
      </c>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45" customHeight="1">
      <c r="A330" s="17" t="str">
        <f>HYPERLINK("https://vimeo.com/123731147","Squat to Stand")</f>
        <v>Squat to Stand</v>
      </c>
      <c r="B330" s="11" t="s">
        <v>237</v>
      </c>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45" customHeight="1">
      <c r="A331" s="17" t="str">
        <f>HYPERLINK("https://vimeo.com/123731148","Squat to Stand With Overhead Reach")</f>
        <v>Squat to Stand With Overhead Reach</v>
      </c>
      <c r="B331" s="11" t="s">
        <v>54</v>
      </c>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45" customHeight="1">
      <c r="A332" s="17" t="str">
        <f>HYPERLINK("https://vimeo.com/123731149","Stability Ball Rollout")</f>
        <v>Stability Ball Rollout</v>
      </c>
      <c r="B332" s="11" t="s">
        <v>36</v>
      </c>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45" customHeight="1">
      <c r="A333" s="17" t="str">
        <f>HYPERLINK("https://vimeo.com/123731530","Staggered-Stance Deep Squat Breathing")</f>
        <v>Staggered-Stance Deep Squat Breathing</v>
      </c>
      <c r="B333" s="11" t="s">
        <v>238</v>
      </c>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45" customHeight="1">
      <c r="A334" s="17" t="str">
        <f>HYPERLINK("https://vimeo.com/123731531","Standing Barbell Overhead Press")</f>
        <v>Standing Barbell Overhead Press</v>
      </c>
      <c r="B334" s="11" t="s">
        <v>239</v>
      </c>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45" customHeight="1">
      <c r="A335" s="17" t="str">
        <f>HYPERLINK("https://vimeo.com/123731532","Standing Split-Stance Landmine Press")</f>
        <v>Standing Split-Stance Landmine Press</v>
      </c>
      <c r="B335" s="11" t="s">
        <v>37</v>
      </c>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45" customHeight="1">
      <c r="A336" s="17" t="str">
        <f>HYPERLINK("https://vimeo.com/123731534","Standing Thoracic Extension Rotation")</f>
        <v>Standing Thoracic Extension Rotation</v>
      </c>
      <c r="B336" s="11" t="s">
        <v>55</v>
      </c>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45" customHeight="1">
      <c r="A337" s="17" t="str">
        <f>HYPERLINK("https://vimeo.com/123731535","Stir-The-Pot")</f>
        <v>Stir-The-Pot</v>
      </c>
      <c r="B337" s="11" t="s">
        <v>25</v>
      </c>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45" customHeight="1">
      <c r="A338" s="17" t="str">
        <f>HYPERLINK("https://vimeo.com/123731792","Super Couch Stretch")</f>
        <v>Super Couch Stretch</v>
      </c>
      <c r="B338" s="11" t="s">
        <v>28</v>
      </c>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45" customHeight="1">
      <c r="A339" s="17" t="str">
        <f>HYPERLINK("https://vimeo.com/123731793","Super Couch Stretch Without Bench")</f>
        <v>Super Couch Stretch Without Bench</v>
      </c>
      <c r="B339" s="11" t="s">
        <v>169</v>
      </c>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45" customHeight="1">
      <c r="A340" s="17" t="s">
        <v>5</v>
      </c>
      <c r="B340" s="11" t="s">
        <v>171</v>
      </c>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45" customHeight="1">
      <c r="A341" s="17" t="str">
        <f>HYPERLINK("https://vimeo.com/123731797","Supine Banded Scapular Protraction")</f>
        <v>Supine Banded Scapular Protraction</v>
      </c>
      <c r="B341" s="4" t="s">
        <v>12</v>
      </c>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45" customHeight="1">
      <c r="A342" s="17" t="str">
        <f>HYPERLINK("https://vimeo.com/123731801","Supine Glute Bridge")</f>
        <v>Supine Glute Bridge</v>
      </c>
      <c r="B342" s="11" t="s">
        <v>240</v>
      </c>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45" customHeight="1">
      <c r="A343" s="17" t="str">
        <f>HYPERLINK("https://vimeo.com/123732070","Supine Hips-Extended Leg Curl")</f>
        <v>Supine Hips-Extended Leg Curl</v>
      </c>
      <c r="B343" s="11" t="s">
        <v>241</v>
      </c>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45" customHeight="1">
      <c r="A344" s="17" t="str">
        <f>HYPERLINK("https://vimeo.com/123732072","Supine Knee to Knee Pull-In")</f>
        <v>Supine Knee to Knee Pull-In</v>
      </c>
      <c r="B344" s="11" t="s">
        <v>177</v>
      </c>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45" customHeight="1">
      <c r="A345" s="17" t="str">
        <f>HYPERLINK("https://vimeo.com/123732073","Supine Psoas March")</f>
        <v>Supine Psoas March</v>
      </c>
      <c r="B345" s="4" t="s">
        <v>119</v>
      </c>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45" customHeight="1">
      <c r="A346" s="17" t="str">
        <f>HYPERLINK("https://vimeo.com/123732074","T-Bar Row")</f>
        <v>T-Bar Row</v>
      </c>
      <c r="B346" s="11" t="s">
        <v>98</v>
      </c>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45" customHeight="1">
      <c r="A347" s="17" t="str">
        <f>HYPERLINK("https://vimeo.com/123732075","T-Pushup")</f>
        <v>T-Pushup</v>
      </c>
      <c r="B347" s="11" t="s">
        <v>59</v>
      </c>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45" customHeight="1">
      <c r="A348" s="17" t="str">
        <f>HYPERLINK("https://vimeo.com/124061942","Tall-Kneeling Overhead Pallof Press")</f>
        <v>Tall-Kneeling Overhead Pallof Press</v>
      </c>
      <c r="B348" s="11" t="s">
        <v>83</v>
      </c>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45" customHeight="1">
      <c r="A349" s="17" t="str">
        <f>HYPERLINK("https://vimeo.com/124061420","Tall-Kneeling Band Chop")</f>
        <v>Tall-Kneeling Band Chop</v>
      </c>
      <c r="B349" s="11" t="s">
        <v>84</v>
      </c>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45" customHeight="1">
      <c r="A350" s="17" t="str">
        <f>HYPERLINK("https://vimeo.com/124061421","Tall-Kneeling Band Lift")</f>
        <v>Tall-Kneeling Band Lift</v>
      </c>
      <c r="B350" s="11" t="s">
        <v>85</v>
      </c>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45" customHeight="1">
      <c r="A351" s="17" t="str">
        <f>HYPERLINK("https://vimeo.com/124061423","Tall-Kneeling Cable Chop")</f>
        <v>Tall-Kneeling Cable Chop</v>
      </c>
      <c r="B351" s="11" t="s">
        <v>84</v>
      </c>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45" customHeight="1">
      <c r="A352" s="17" t="str">
        <f>HYPERLINK("https://vimeo.com/124061425","Tall-Kneeling Cable Lift")</f>
        <v>Tall-Kneeling Cable Lift</v>
      </c>
      <c r="B352" s="11" t="s">
        <v>242</v>
      </c>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45" customHeight="1">
      <c r="A353" s="17" t="str">
        <f>HYPERLINK("https://vimeo.com/124061427","Tall-Kneeling Landmine Press")</f>
        <v>Tall-Kneeling Landmine Press</v>
      </c>
      <c r="B353" s="11" t="s">
        <v>66</v>
      </c>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45" customHeight="1">
      <c r="A354" s="17" t="str">
        <f>HYPERLINK("https://vimeo.com/124061943","Tall-Kneeling Pallof Press")</f>
        <v>Tall-Kneeling Pallof Press</v>
      </c>
      <c r="B354" s="11" t="s">
        <v>67</v>
      </c>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45" customHeight="1">
      <c r="A355" s="17" t="str">
        <f>HYPERLINK("https://vimeo.com/124061944","Tall-Kneeling Pallof Press Iso")</f>
        <v>Tall-Kneeling Pallof Press Iso</v>
      </c>
      <c r="B355" s="11" t="s">
        <v>67</v>
      </c>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45" customHeight="1">
      <c r="A356" s="17" t="str">
        <f>HYPERLINK("https://vimeo.com/124061945","Tall-Kneeling Pallof Press Iso With Band")</f>
        <v>Tall-Kneeling Pallof Press Iso With Band</v>
      </c>
      <c r="B356" s="11" t="s">
        <v>66</v>
      </c>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45" customHeight="1">
      <c r="A357" s="17" t="str">
        <f>HYPERLINK("https://vimeo.com/124061946","Tall-Kneeling Pallof Press With Band")</f>
        <v>Tall-Kneeling Pallof Press With Band</v>
      </c>
      <c r="B357" s="11" t="s">
        <v>243</v>
      </c>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45" customHeight="1">
      <c r="A358" s="17" t="str">
        <f>HYPERLINK("https://vimeo.com/124064392","Thoracic Mobilization on Foam Roller")</f>
        <v>Thoracic Mobilization on Foam Roller</v>
      </c>
      <c r="B358" s="11" t="s">
        <v>244</v>
      </c>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45" customHeight="1">
      <c r="A359" s="17" t="str">
        <f>HYPERLINK("https://vimeo.com/124064393","Thoracic Mobilization With Bench")</f>
        <v>Thoracic Mobilization With Bench</v>
      </c>
      <c r="B359" s="11" t="s">
        <v>39</v>
      </c>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45" customHeight="1">
      <c r="A360" s="17" t="str">
        <f>HYPERLINK("https://vimeo.com/124064394","Toy Soldier")</f>
        <v>Toy Soldier</v>
      </c>
      <c r="B360" s="11" t="s">
        <v>190</v>
      </c>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45" customHeight="1">
      <c r="A361" s="17" t="str">
        <f>HYPERLINK("https://vimeo.com/124064396","Trap Bar Deadlift")</f>
        <v>Trap Bar Deadlift</v>
      </c>
      <c r="B361" s="11" t="s">
        <v>154</v>
      </c>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45" customHeight="1">
      <c r="A362" s="17" t="str">
        <f>HYPERLINK("https://vimeo.com/124064398","Triceps Press-Down")</f>
        <v>Triceps Press-Down</v>
      </c>
      <c r="B362" s="11" t="s">
        <v>80</v>
      </c>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45" customHeight="1">
      <c r="A363" s="17" t="str">
        <f>HYPERLINK("https://vimeo.com/124064961","Turkish Get-up")</f>
        <v>Turkish Get-up</v>
      </c>
      <c r="B363" s="11" t="s">
        <v>245</v>
      </c>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45" customHeight="1">
      <c r="A364" s="17" t="str">
        <f>HYPERLINK("https://vimeo.com/124064966","Walking Dumbbell Cross-Carry")</f>
        <v>Walking Dumbbell Cross-Carry</v>
      </c>
      <c r="B364" s="11" t="s">
        <v>134</v>
      </c>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45" customHeight="1">
      <c r="A365" s="17" t="str">
        <f>HYPERLINK("https://vimeo.com/124064962","Walking Dumbbell Lunge")</f>
        <v>Walking Dumbbell Lunge</v>
      </c>
      <c r="B365" s="11" t="s">
        <v>231</v>
      </c>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45" customHeight="1">
      <c r="A366" s="17" t="str">
        <f>HYPERLINK("https://vimeo.com/124064965","Walking Farmer's Carry")</f>
        <v>Walking Farmer's Carry</v>
      </c>
      <c r="B366" s="11" t="s">
        <v>231</v>
      </c>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45" customHeight="1">
      <c r="A367" s="17" t="str">
        <f>HYPERLINK("https://vimeo.com/124064967","Walking Fat Grip Farmer's Carry")</f>
        <v>Walking Fat Grip Farmer's Carry</v>
      </c>
      <c r="B367" s="11" t="s">
        <v>231</v>
      </c>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45" customHeight="1">
      <c r="A368" s="17" t="str">
        <f>HYPERLINK("https://vimeo.com/124065846","Walking Goblet Carry")</f>
        <v>Walking Goblet Carry</v>
      </c>
      <c r="B368" s="11" t="s">
        <v>81</v>
      </c>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45" customHeight="1">
      <c r="A369" s="17" t="str">
        <f>HYPERLINK("https://vimeo.com/124065848","Walking Goblet Heartbeat Carry")</f>
        <v>Walking Goblet Heartbeat Carry</v>
      </c>
      <c r="B369" s="11" t="s">
        <v>134</v>
      </c>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45" customHeight="1">
      <c r="A370" s="17" t="str">
        <f>HYPERLINK("https://vimeo.com/124065849","Walking Goblet Lunge")</f>
        <v>Walking Goblet Lunge</v>
      </c>
      <c r="B370" s="11" t="s">
        <v>40</v>
      </c>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45" customHeight="1">
      <c r="A371" s="17" t="str">
        <f>HYPERLINK("https://vimeo.com/124065851","Walking Knee to Chest")</f>
        <v>Walking Knee to Chest</v>
      </c>
      <c r="B371" s="11" t="s">
        <v>137</v>
      </c>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45" customHeight="1">
      <c r="A372" s="17" t="str">
        <f>HYPERLINK("https://vimeo.com/124065852","Walking Offset Dumbbell Lunge")</f>
        <v>Walking Offset Dumbbell Lunge</v>
      </c>
      <c r="B372" s="11" t="s">
        <v>41</v>
      </c>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45" customHeight="1">
      <c r="A373" s="17" t="str">
        <f>HYPERLINK("https://vimeo.com/124406400","Walking Pull-Back Butt Kick")</f>
        <v>Walking Pull-Back Butt Kick</v>
      </c>
      <c r="B373" s="11" t="s">
        <v>231</v>
      </c>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45" customHeight="1">
      <c r="A374" s="17" t="str">
        <f>HYPERLINK("https://vimeo.com/124406404","Walking Single-Arm Bottom-Up Kettlebell Racked Carry")</f>
        <v>Walking Single-Arm Bottom-Up Kettlebell Racked Carry</v>
      </c>
      <c r="B374" s="11" t="s">
        <v>46</v>
      </c>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45" customHeight="1">
      <c r="A375" s="17" t="str">
        <f>HYPERLINK("https://vimeo.com/124406408","Walking Spiderman")</f>
        <v>Walking Spiderman</v>
      </c>
      <c r="B375" s="11" t="s">
        <v>49</v>
      </c>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45" customHeight="1">
      <c r="A376" s="17" t="str">
        <f>HYPERLINK("https://vimeo.com/124406409","Walking Spiderman With Hip Lift")</f>
        <v>Walking Spiderman With Hip Lift</v>
      </c>
      <c r="B376" s="11" t="s">
        <v>50</v>
      </c>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45" customHeight="1">
      <c r="A377" s="17" t="str">
        <f>HYPERLINK("https://vimeo.com/124406410","Walking Spiderman With Overhead Reach")</f>
        <v>Walking Spiderman With Overhead Reach</v>
      </c>
      <c r="B377" s="11" t="s">
        <v>51</v>
      </c>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45" customHeight="1">
      <c r="A378" s="17" t="str">
        <f>HYPERLINK("https://vimeo.com/124408097","Walking Spiderman With Overhead Reach and Hip Lift")</f>
        <v>Walking Spiderman With Overhead Reach and Hip Lift</v>
      </c>
      <c r="B378" s="11" t="s">
        <v>246</v>
      </c>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45" customHeight="1">
      <c r="A379" s="17" t="str">
        <f>HYPERLINK("https://vimeo.com/124408098","Walking Two-Arm Waiter’s Carry")</f>
        <v>Walking Two-Arm Waiter’s Carry</v>
      </c>
      <c r="B379" s="11" t="s">
        <v>247</v>
      </c>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45" customHeight="1">
      <c r="A380" s="17" t="str">
        <f>HYPERLINK("https://vimeo.com/124408100","Walking Waiter's Carry")</f>
        <v>Walking Waiter's Carry</v>
      </c>
      <c r="B380" s="11" t="s">
        <v>47</v>
      </c>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45" customHeight="1">
      <c r="A381" s="17" t="str">
        <f>HYPERLINK("https://vimeo.com/124408101","Walking Warrior Lunge")</f>
        <v>Walking Warrior Lunge</v>
      </c>
      <c r="B381" s="11" t="s">
        <v>248</v>
      </c>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45" customHeight="1">
      <c r="A382" s="17" t="str">
        <f>HYPERLINK("https://vimeo.com/124408102","Wall Ankle Mobilization")</f>
        <v>Wall Ankle Mobilization</v>
      </c>
      <c r="B382" s="11" t="s">
        <v>249</v>
      </c>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45" customHeight="1">
      <c r="A383" s="17" t="str">
        <f>HYPERLINK("https://vimeo.com/124409625","Wall Glute Iso March")</f>
        <v>Wall Glute Iso March</v>
      </c>
      <c r="B383" s="11" t="s">
        <v>250</v>
      </c>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45" customHeight="1">
      <c r="A384" s="17" t="str">
        <f>HYPERLINK("https://vimeo.com/124409628","Wall Hip Flexor Mobilization")</f>
        <v>Wall Hip Flexor Mobilization</v>
      </c>
      <c r="B384" s="4" t="s">
        <v>73</v>
      </c>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45" customHeight="1">
      <c r="A385" s="17" t="str">
        <f>HYPERLINK("https://vimeo.com/124409627","Wall-Press Abs")</f>
        <v>Wall-Press Abs</v>
      </c>
      <c r="B385" s="11" t="s">
        <v>48</v>
      </c>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45" customHeight="1">
      <c r="A386" s="17" t="str">
        <f>HYPERLINK("https://vimeo.com/124409630","Warrior Lunge With Overhead Reach")</f>
        <v>Warrior Lunge With Overhead Reach</v>
      </c>
      <c r="B386" s="11" t="s">
        <v>121</v>
      </c>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45" customHeight="1">
      <c r="A387" s="17" t="str">
        <f>HYPERLINK("https://vimeo.com/124409629","Weighted Chin-Up")</f>
        <v>Weighted Chin-Up</v>
      </c>
      <c r="B387" s="11" t="s">
        <v>121</v>
      </c>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45" customHeight="1">
      <c r="A388" s="17" t="str">
        <f>HYPERLINK("https://vimeo.com/124411698","Weighted Neutral-Grip Pull-Up")</f>
        <v>Weighted Neutral-Grip Pull-Up</v>
      </c>
      <c r="B388" s="11" t="s">
        <v>89</v>
      </c>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45" customHeight="1">
      <c r="A389" s="17" t="str">
        <f>HYPERLINK("https://vimeo.com/124411702","Weighted Pushup")</f>
        <v>Weighted Pushup</v>
      </c>
      <c r="B389" s="11" t="s">
        <v>89</v>
      </c>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45" customHeight="1">
      <c r="A390" s="17" t="str">
        <f>HYPERLINK("https://vimeo.com/124411701","Weighted Ring Pushup")</f>
        <v>Weighted Ring Pushup</v>
      </c>
      <c r="B390" s="11" t="s">
        <v>42</v>
      </c>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45" customHeight="1">
      <c r="A391" s="17" t="str">
        <f>HYPERLINK("https://vimeo.com/124411704","X-Band Box Walk")</f>
        <v>X-Band Box Walk</v>
      </c>
      <c r="B391" s="11" t="s">
        <v>42</v>
      </c>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45" customHeight="1">
      <c r="A392" s="17" t="str">
        <f>HYPERLINK("https://vimeo.com/124411705","X-Band Walk")</f>
        <v>X-Band Walk</v>
      </c>
      <c r="B392" s="4" t="s">
        <v>124</v>
      </c>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45" customHeight="1">
      <c r="A393" s="17" t="str">
        <f>HYPERLINK("https://vimeo.com/124412394","X-Lat Band Pull-Down")</f>
        <v>X-Lat Band Pull-Down</v>
      </c>
      <c r="B393" s="11" t="s">
        <v>29</v>
      </c>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45" customHeight="1">
      <c r="A394" s="17" t="str">
        <f>HYPERLINK("https://vimeo.com/124412396","Yoga Downward Dog Stretch")</f>
        <v>Yoga Downward Dog Stretch</v>
      </c>
      <c r="B394" s="11" t="s">
        <v>251</v>
      </c>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45" customHeight="1">
      <c r="A395" s="17" t="str">
        <f>HYPERLINK("https://vimeo.com/124412395","Yoga Plex")</f>
        <v>Yoga Plex</v>
      </c>
      <c r="B395" s="11" t="s">
        <v>252</v>
      </c>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45" customHeight="1">
      <c r="A396" s="17" t="str">
        <f>HYPERLINK("https://vimeo.com/124412397","Yoga Pushup")</f>
        <v>Yoga Pushup</v>
      </c>
      <c r="B396" s="18" t="s">
        <v>254</v>
      </c>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 r="A397" s="19"/>
      <c r="B397" s="13"/>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 r="A398" s="19"/>
      <c r="B398" s="13"/>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 r="A399" s="19"/>
      <c r="B399" s="13"/>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 r="A400" s="19"/>
      <c r="B400" s="13"/>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 r="A401" s="19"/>
      <c r="B401" s="13"/>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 r="A402" s="19"/>
      <c r="B402" s="13"/>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 r="A403" s="19"/>
      <c r="B403" s="13"/>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 r="A404" s="19"/>
      <c r="B404" s="13"/>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 r="A405" s="19"/>
      <c r="B405" s="13"/>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 r="A406" s="19"/>
      <c r="B406" s="13"/>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 r="A407" s="19"/>
      <c r="B407" s="13"/>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 r="A408" s="19"/>
      <c r="B408" s="13"/>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 r="A409" s="19"/>
      <c r="B409" s="13"/>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 r="A410" s="19"/>
      <c r="B410" s="13"/>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 r="A411" s="19"/>
      <c r="B411" s="13"/>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 r="A412" s="19"/>
      <c r="B412" s="13"/>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 r="A413" s="19"/>
      <c r="B413" s="13"/>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 r="A414" s="19"/>
      <c r="B414" s="13"/>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 r="A415" s="19"/>
      <c r="B415" s="13"/>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 r="A416" s="19"/>
      <c r="B416" s="13"/>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 r="A417" s="19"/>
      <c r="B417" s="13"/>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 r="A418" s="19"/>
      <c r="B418" s="13"/>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 r="A419" s="19"/>
      <c r="B419" s="13"/>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 r="A420" s="19"/>
      <c r="B420" s="13"/>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 r="A421" s="19"/>
      <c r="B421" s="13"/>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 r="A422" s="19"/>
      <c r="B422" s="13"/>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 r="A423" s="19"/>
      <c r="B423" s="13"/>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 r="A424" s="19"/>
      <c r="B424" s="13"/>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 r="A425" s="19"/>
      <c r="B425" s="13"/>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 r="A426" s="19"/>
      <c r="B426" s="13"/>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 r="A427" s="19"/>
      <c r="B427" s="13"/>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 r="A428" s="19"/>
      <c r="B428" s="13"/>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 r="A429" s="19"/>
      <c r="B429" s="13"/>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 r="A430" s="19"/>
      <c r="B430" s="13"/>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 r="A431" s="19"/>
      <c r="B431" s="13"/>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 r="A432" s="19"/>
      <c r="B432" s="13"/>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 r="A433" s="19"/>
      <c r="B433" s="13"/>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 r="A434" s="19"/>
      <c r="B434" s="13"/>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 r="A435" s="19"/>
      <c r="B435" s="13"/>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 r="A436" s="19"/>
      <c r="B436" s="13"/>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 r="A437" s="19"/>
      <c r="B437" s="13"/>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 r="A438" s="19"/>
      <c r="B438" s="13"/>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 r="A439" s="19"/>
      <c r="B439" s="13"/>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 r="A440" s="19"/>
      <c r="B440" s="13"/>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 r="A441" s="19"/>
      <c r="B441" s="13"/>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 r="A442" s="19"/>
      <c r="B442" s="13"/>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 r="A443" s="19"/>
      <c r="B443" s="13"/>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 r="A444" s="19"/>
      <c r="B444" s="13"/>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 r="A445" s="19"/>
      <c r="B445" s="13"/>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 r="A446" s="19"/>
      <c r="B446" s="13"/>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 r="A447" s="19"/>
      <c r="B447" s="13"/>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 r="A448" s="19"/>
      <c r="B448" s="13"/>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 r="A449" s="19"/>
      <c r="B449" s="13"/>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 r="A450" s="19"/>
      <c r="B450" s="13"/>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 r="A451" s="19"/>
      <c r="B451" s="13"/>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 r="A452" s="19"/>
      <c r="B452" s="13"/>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 r="A453" s="19"/>
      <c r="B453" s="13"/>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 r="A454" s="19"/>
      <c r="B454" s="13"/>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 r="A455" s="19"/>
      <c r="B455" s="13"/>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 r="A456" s="19"/>
      <c r="B456" s="13"/>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 r="A457" s="19"/>
      <c r="B457" s="13"/>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 r="A458" s="19"/>
      <c r="B458" s="13"/>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 r="A459" s="19"/>
      <c r="B459" s="13"/>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 r="A460" s="19"/>
      <c r="B460" s="13"/>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 r="A461" s="19"/>
      <c r="B461" s="13"/>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 r="A462" s="19"/>
      <c r="B462" s="13"/>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 r="A463" s="19"/>
      <c r="B463" s="13"/>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 r="A464" s="19"/>
      <c r="B464" s="13"/>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 r="A465" s="19"/>
      <c r="B465" s="13"/>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 r="A466" s="19"/>
      <c r="B466" s="13"/>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 r="A467" s="19"/>
      <c r="B467" s="13"/>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 r="A468" s="19"/>
      <c r="B468" s="13"/>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 r="A469" s="19"/>
      <c r="B469" s="13"/>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 r="A470" s="19"/>
      <c r="B470" s="13"/>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 r="A471" s="19"/>
      <c r="B471" s="13"/>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 r="A472" s="19"/>
      <c r="B472" s="13"/>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 r="A473" s="19"/>
      <c r="B473" s="13"/>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 r="A474" s="19"/>
      <c r="B474" s="13"/>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 r="A475" s="19"/>
      <c r="B475" s="13"/>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 r="A476" s="19"/>
      <c r="B476" s="13"/>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 r="A477" s="19"/>
      <c r="B477" s="13"/>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 r="A478" s="19"/>
      <c r="B478" s="13"/>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 r="A479" s="19"/>
      <c r="B479" s="13"/>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 r="A480" s="19"/>
      <c r="B480" s="13"/>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 r="A481" s="19"/>
      <c r="B481" s="13"/>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 r="A482" s="19"/>
      <c r="B482" s="13"/>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 r="A483" s="19"/>
      <c r="B483" s="13"/>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 r="A484" s="19"/>
      <c r="B484" s="13"/>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 r="A485" s="19"/>
      <c r="B485" s="13"/>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 r="A486" s="19"/>
      <c r="B486" s="13"/>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 r="A487" s="19"/>
      <c r="B487" s="13"/>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 r="A488" s="19"/>
      <c r="B488" s="13"/>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 r="A489" s="19"/>
      <c r="B489" s="13"/>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 r="A490" s="19"/>
      <c r="B490" s="13"/>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 r="A491" s="19"/>
      <c r="B491" s="13"/>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 r="A492" s="19"/>
      <c r="B492" s="13"/>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 r="A493" s="19"/>
      <c r="B493" s="13"/>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 r="A494" s="19"/>
      <c r="B494" s="13"/>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 r="A495" s="19"/>
      <c r="B495" s="13"/>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 r="A496" s="19"/>
      <c r="B496" s="13"/>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 r="A497" s="19"/>
      <c r="B497" s="13"/>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 r="A498" s="19"/>
      <c r="B498" s="13"/>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 r="A499" s="19"/>
      <c r="B499" s="13"/>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 r="A500" s="19"/>
      <c r="B500" s="13"/>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 r="A501" s="19"/>
      <c r="B501" s="13"/>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 r="A502" s="19"/>
      <c r="B502" s="13"/>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 r="A503" s="19"/>
      <c r="B503" s="13"/>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 r="A504" s="19"/>
      <c r="B504" s="13"/>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 r="A505" s="19"/>
      <c r="B505" s="13"/>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 r="A506" s="19"/>
      <c r="B506" s="13"/>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 r="A507" s="19"/>
      <c r="B507" s="13"/>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 r="A508" s="19"/>
      <c r="B508" s="13"/>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 r="A509" s="19"/>
      <c r="B509" s="13"/>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 r="A510" s="19"/>
      <c r="B510" s="13"/>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 r="A511" s="19"/>
      <c r="B511" s="13"/>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 r="A512" s="19"/>
      <c r="B512" s="13"/>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 r="A513" s="19"/>
      <c r="B513" s="13"/>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 r="A514" s="19"/>
      <c r="B514" s="13"/>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 r="A515" s="19"/>
      <c r="B515" s="13"/>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 r="A516" s="19"/>
      <c r="B516" s="13"/>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 r="A517" s="19"/>
      <c r="B517" s="13"/>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 r="A518" s="19"/>
      <c r="B518" s="13"/>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 r="A519" s="19"/>
      <c r="B519" s="13"/>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 r="A520" s="19"/>
      <c r="B520" s="13"/>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 r="A521" s="19"/>
      <c r="B521" s="13"/>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 r="A522" s="19"/>
      <c r="B522" s="13"/>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 r="A523" s="19"/>
      <c r="B523" s="13"/>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 r="A524" s="19"/>
      <c r="B524" s="13"/>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 r="A525" s="19"/>
      <c r="B525" s="13"/>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 r="A526" s="19"/>
      <c r="B526" s="13"/>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 r="A527" s="19"/>
      <c r="B527" s="13"/>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 r="A528" s="19"/>
      <c r="B528" s="13"/>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 r="A529" s="19"/>
      <c r="B529" s="13"/>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 r="A530" s="19"/>
      <c r="B530" s="13"/>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 r="A531" s="19"/>
      <c r="B531" s="13"/>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 r="A532" s="19"/>
      <c r="B532" s="13"/>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 r="A533" s="19"/>
      <c r="B533" s="13"/>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 r="A534" s="19"/>
      <c r="B534" s="13"/>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 r="A535" s="19"/>
      <c r="B535" s="13"/>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 r="A536" s="19"/>
      <c r="B536" s="13"/>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 r="A537" s="19"/>
      <c r="B537" s="13"/>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 r="A538" s="19"/>
      <c r="B538" s="13"/>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 r="A539" s="19"/>
      <c r="B539" s="13"/>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 r="A540" s="19"/>
      <c r="B540" s="13"/>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 r="A541" s="19"/>
      <c r="B541" s="13"/>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 r="A542" s="19"/>
      <c r="B542" s="13"/>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 r="A543" s="19"/>
      <c r="B543" s="13"/>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 r="A544" s="19"/>
      <c r="B544" s="13"/>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 r="A545" s="19"/>
      <c r="B545" s="13"/>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 r="A546" s="19"/>
      <c r="B546" s="13"/>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 r="A547" s="19"/>
      <c r="B547" s="13"/>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 r="A548" s="19"/>
      <c r="B548" s="13"/>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 r="A549" s="19"/>
      <c r="B549" s="13"/>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 r="A550" s="19"/>
      <c r="B550" s="13"/>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 r="A551" s="19"/>
      <c r="B551" s="13"/>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 r="A552" s="19"/>
      <c r="B552" s="13"/>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 r="A553" s="19"/>
      <c r="B553" s="13"/>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 r="A554" s="19"/>
      <c r="B554" s="13"/>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 r="A555" s="19"/>
      <c r="B555" s="13"/>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 r="A556" s="19"/>
      <c r="B556" s="13"/>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 r="A557" s="19"/>
      <c r="B557" s="13"/>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 r="A558" s="19"/>
      <c r="B558" s="13"/>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 r="A559" s="19"/>
      <c r="B559" s="13"/>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 r="A560" s="19"/>
      <c r="B560" s="13"/>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 r="A561" s="19"/>
      <c r="B561" s="13"/>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 r="A562" s="19"/>
      <c r="B562" s="13"/>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 r="A563" s="19"/>
      <c r="B563" s="13"/>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 r="A564" s="19"/>
      <c r="B564" s="13"/>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 r="A565" s="19"/>
      <c r="B565" s="13"/>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 r="A566" s="19"/>
      <c r="B566" s="13"/>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 r="A567" s="19"/>
      <c r="B567" s="13"/>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 r="A568" s="19"/>
      <c r="B568" s="13"/>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 r="A569" s="19"/>
      <c r="B569" s="13"/>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 r="A570" s="19"/>
      <c r="B570" s="13"/>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 r="A571" s="19"/>
      <c r="B571" s="13"/>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 r="A572" s="19"/>
      <c r="B572" s="13"/>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 r="A573" s="19"/>
      <c r="B573" s="13"/>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 r="A574" s="19"/>
      <c r="B574" s="13"/>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 r="A575" s="19"/>
      <c r="B575" s="13"/>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 r="A576" s="19"/>
      <c r="B576" s="13"/>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 r="A577" s="19"/>
      <c r="B577" s="13"/>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 r="A578" s="19"/>
      <c r="B578" s="13"/>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 r="A579" s="19"/>
      <c r="B579" s="13"/>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 r="A580" s="19"/>
      <c r="B580" s="13"/>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 r="A581" s="19"/>
      <c r="B581" s="13"/>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 r="A582" s="19"/>
      <c r="B582" s="13"/>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 r="A583" s="19"/>
      <c r="B583" s="13"/>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 r="A584" s="19"/>
      <c r="B584" s="13"/>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 r="A585" s="19"/>
      <c r="B585" s="13"/>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 r="A586" s="19"/>
      <c r="B586" s="13"/>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 r="A587" s="19"/>
      <c r="B587" s="13"/>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 r="A588" s="19"/>
      <c r="B588" s="13"/>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 r="A589" s="19"/>
      <c r="B589" s="13"/>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 r="A590" s="19"/>
      <c r="B590" s="13"/>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 r="A591" s="19"/>
      <c r="B591" s="13"/>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 r="A592" s="19"/>
      <c r="B592" s="13"/>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 r="A593" s="19"/>
      <c r="B593" s="13"/>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 r="A594" s="19"/>
      <c r="B594" s="13"/>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 r="A595" s="19"/>
      <c r="B595" s="13"/>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 r="A596" s="19"/>
      <c r="B596" s="13"/>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 r="A597" s="19"/>
      <c r="B597" s="13"/>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 r="A598" s="19"/>
      <c r="B598" s="13"/>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 r="A599" s="19"/>
      <c r="B599" s="13"/>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 r="A600" s="19"/>
      <c r="B600" s="13"/>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 r="A601" s="19"/>
      <c r="B601" s="13"/>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 r="A602" s="19"/>
      <c r="B602" s="13"/>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 r="A603" s="19"/>
      <c r="B603" s="13"/>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 r="A604" s="19"/>
      <c r="B604" s="13"/>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 r="A605" s="19"/>
      <c r="B605" s="13"/>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 r="A606" s="19"/>
      <c r="B606" s="13"/>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 r="A607" s="19"/>
      <c r="B607" s="13"/>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 r="A608" s="19"/>
      <c r="B608" s="13"/>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 r="A609" s="19"/>
      <c r="B609" s="13"/>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 r="A610" s="19"/>
      <c r="B610" s="13"/>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 r="A611" s="19"/>
      <c r="B611" s="13"/>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 r="A612" s="19"/>
      <c r="B612" s="13"/>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 r="A613" s="19"/>
      <c r="B613" s="13"/>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 r="A614" s="19"/>
      <c r="B614" s="13"/>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 r="A615" s="19"/>
      <c r="B615" s="13"/>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 r="A616" s="19"/>
      <c r="B616" s="13"/>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 r="A617" s="19"/>
      <c r="B617" s="13"/>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 r="A618" s="19"/>
      <c r="B618" s="13"/>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 r="A619" s="19"/>
      <c r="B619" s="13"/>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 r="A620" s="19"/>
      <c r="B620" s="13"/>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 r="A621" s="19"/>
      <c r="B621" s="13"/>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 r="A622" s="19"/>
      <c r="B622" s="13"/>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 r="A623" s="19"/>
      <c r="B623" s="13"/>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 r="A624" s="19"/>
      <c r="B624" s="13"/>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 r="A625" s="19"/>
      <c r="B625" s="13"/>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 r="A626" s="19"/>
      <c r="B626" s="13"/>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 r="A627" s="19"/>
      <c r="B627" s="13"/>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 r="A628" s="19"/>
      <c r="B628" s="13"/>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 r="A629" s="19"/>
      <c r="B629" s="13"/>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 r="A630" s="19"/>
      <c r="B630" s="13"/>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 r="A631" s="19"/>
      <c r="B631" s="13"/>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 r="A632" s="19"/>
      <c r="B632" s="13"/>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 r="A633" s="19"/>
      <c r="B633" s="13"/>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 r="A634" s="19"/>
      <c r="B634" s="13"/>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 r="A635" s="19"/>
      <c r="B635" s="13"/>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 r="A636" s="19"/>
      <c r="B636" s="13"/>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 r="A637" s="19"/>
      <c r="B637" s="13"/>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 r="A638" s="19"/>
      <c r="B638" s="13"/>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 r="A639" s="19"/>
      <c r="B639" s="13"/>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 r="A640" s="19"/>
      <c r="B640" s="13"/>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 r="A641" s="19"/>
      <c r="B641" s="13"/>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 r="A642" s="19"/>
      <c r="B642" s="13"/>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 r="A643" s="19"/>
      <c r="B643" s="13"/>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 r="A644" s="19"/>
      <c r="B644" s="13"/>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 r="A645" s="19"/>
      <c r="B645" s="13"/>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 r="A646" s="19"/>
      <c r="B646" s="13"/>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 r="A647" s="19"/>
      <c r="B647" s="13"/>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 r="A648" s="19"/>
      <c r="B648" s="13"/>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 r="A649" s="19"/>
      <c r="B649" s="13"/>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 r="A650" s="19"/>
      <c r="B650" s="13"/>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 r="A651" s="19"/>
      <c r="B651" s="13"/>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 r="A652" s="19"/>
      <c r="B652" s="13"/>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 r="A653" s="19"/>
      <c r="B653" s="13"/>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 r="A654" s="19"/>
      <c r="B654" s="13"/>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 r="A655" s="19"/>
      <c r="B655" s="13"/>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 r="A656" s="19"/>
      <c r="B656" s="13"/>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 r="A657" s="19"/>
      <c r="B657" s="13"/>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 r="A658" s="19"/>
      <c r="B658" s="13"/>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 r="A659" s="19"/>
      <c r="B659" s="13"/>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 r="A660" s="19"/>
      <c r="B660" s="13"/>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 r="A661" s="19"/>
      <c r="B661" s="13"/>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 r="A662" s="19"/>
      <c r="B662" s="13"/>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 r="A663" s="19"/>
      <c r="B663" s="13"/>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 r="A664" s="19"/>
      <c r="B664" s="13"/>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 r="A665" s="19"/>
      <c r="B665" s="13"/>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 r="A666" s="19"/>
      <c r="B666" s="13"/>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 r="A667" s="19"/>
      <c r="B667" s="13"/>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 r="A668" s="19"/>
      <c r="B668" s="13"/>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 r="A669" s="19"/>
      <c r="B669" s="13"/>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 r="A670" s="19"/>
      <c r="B670" s="13"/>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 r="A671" s="19"/>
      <c r="B671" s="13"/>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 r="A672" s="19"/>
      <c r="B672" s="13"/>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 r="A673" s="19"/>
      <c r="B673" s="13"/>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 r="A674" s="19"/>
      <c r="B674" s="13"/>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 r="A675" s="19"/>
      <c r="B675" s="13"/>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 r="A676" s="19"/>
      <c r="B676" s="13"/>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 r="A677" s="19"/>
      <c r="B677" s="13"/>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 r="A678" s="19"/>
      <c r="B678" s="13"/>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 r="A679" s="19"/>
      <c r="B679" s="13"/>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 r="A680" s="19"/>
      <c r="B680" s="13"/>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 r="A681" s="19"/>
      <c r="B681" s="13"/>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 r="A682" s="19"/>
      <c r="B682" s="13"/>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 r="A683" s="19"/>
      <c r="B683" s="13"/>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 r="A684" s="19"/>
      <c r="B684" s="13"/>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 r="A685" s="19"/>
      <c r="B685" s="13"/>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 r="A686" s="19"/>
      <c r="B686" s="13"/>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 r="A687" s="19"/>
      <c r="B687" s="13"/>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 r="A688" s="19"/>
      <c r="B688" s="13"/>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 r="A689" s="19"/>
      <c r="B689" s="13"/>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 r="A690" s="19"/>
      <c r="B690" s="13"/>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 r="A691" s="19"/>
      <c r="B691" s="13"/>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 r="A692" s="19"/>
      <c r="B692" s="13"/>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 r="A693" s="19"/>
      <c r="B693" s="13"/>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 r="A694" s="19"/>
      <c r="B694" s="13"/>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 r="A695" s="19"/>
      <c r="B695" s="13"/>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 r="A696" s="19"/>
      <c r="B696" s="13"/>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 r="A697" s="19"/>
      <c r="B697" s="13"/>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 r="A698" s="19"/>
      <c r="B698" s="13"/>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 r="A699" s="19"/>
      <c r="B699" s="13"/>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 r="A700" s="19"/>
      <c r="B700" s="13"/>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 r="A701" s="19"/>
      <c r="B701" s="13"/>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 r="A702" s="19"/>
      <c r="B702" s="13"/>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 r="A703" s="19"/>
      <c r="B703" s="13"/>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 r="A704" s="19"/>
      <c r="B704" s="13"/>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 r="A705" s="19"/>
      <c r="B705" s="13"/>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 r="A706" s="19"/>
      <c r="B706" s="13"/>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 r="A707" s="19"/>
      <c r="B707" s="13"/>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 r="A708" s="19"/>
      <c r="B708" s="13"/>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 r="A709" s="19"/>
      <c r="B709" s="13"/>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 r="A710" s="19"/>
      <c r="B710" s="13"/>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 r="A711" s="19"/>
      <c r="B711" s="13"/>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 r="A712" s="19"/>
      <c r="B712" s="13"/>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 r="A713" s="19"/>
      <c r="B713" s="13"/>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 r="A714" s="19"/>
      <c r="B714" s="13"/>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 r="A715" s="19"/>
      <c r="B715" s="13"/>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 r="A716" s="19"/>
      <c r="B716" s="13"/>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 r="A717" s="19"/>
      <c r="B717" s="13"/>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 r="A718" s="19"/>
      <c r="B718" s="13"/>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 r="A719" s="19"/>
      <c r="B719" s="13"/>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 r="A720" s="19"/>
      <c r="B720" s="13"/>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 r="A721" s="19"/>
      <c r="B721" s="13"/>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 r="A722" s="19"/>
      <c r="B722" s="13"/>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 r="A723" s="19"/>
      <c r="B723" s="13"/>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 r="A724" s="19"/>
      <c r="B724" s="13"/>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 r="A725" s="19"/>
      <c r="B725" s="13"/>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 r="A726" s="19"/>
      <c r="B726" s="13"/>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 r="A727" s="19"/>
      <c r="B727" s="13"/>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 r="A728" s="19"/>
      <c r="B728" s="13"/>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 r="A729" s="19"/>
      <c r="B729" s="13"/>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 r="A730" s="19"/>
      <c r="B730" s="13"/>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 r="A731" s="19"/>
      <c r="B731" s="13"/>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 r="A732" s="19"/>
      <c r="B732" s="13"/>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 r="A733" s="19"/>
      <c r="B733" s="13"/>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 r="A734" s="19"/>
      <c r="B734" s="13"/>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 r="A735" s="19"/>
      <c r="B735" s="13"/>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 r="A736" s="19"/>
      <c r="B736" s="13"/>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 r="A737" s="19"/>
      <c r="B737" s="13"/>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 r="A738" s="19"/>
      <c r="B738" s="13"/>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 r="A739" s="19"/>
      <c r="B739" s="13"/>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 r="A740" s="19"/>
      <c r="B740" s="13"/>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 r="A741" s="19"/>
      <c r="B741" s="13"/>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 r="A742" s="19"/>
      <c r="B742" s="13"/>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 r="A743" s="19"/>
      <c r="B743" s="13"/>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 r="A744" s="19"/>
      <c r="B744" s="13"/>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 r="A745" s="19"/>
      <c r="B745" s="13"/>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 r="A746" s="19"/>
      <c r="B746" s="13"/>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 r="A747" s="19"/>
      <c r="B747" s="13"/>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 r="A748" s="19"/>
      <c r="B748" s="13"/>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 r="A749" s="19"/>
      <c r="B749" s="13"/>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 r="A750" s="19"/>
      <c r="B750" s="13"/>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 r="A751" s="19"/>
      <c r="B751" s="13"/>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 r="A752" s="19"/>
      <c r="B752" s="13"/>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 r="A753" s="19"/>
      <c r="B753" s="13"/>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 r="A754" s="19"/>
      <c r="B754" s="13"/>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 r="A755" s="19"/>
      <c r="B755" s="13"/>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 r="A756" s="19"/>
      <c r="B756" s="13"/>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 r="A757" s="19"/>
      <c r="B757" s="13"/>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 r="A758" s="19"/>
      <c r="B758" s="13"/>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 r="A759" s="19"/>
      <c r="B759" s="13"/>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 r="A760" s="19"/>
      <c r="B760" s="13"/>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 r="A761" s="19"/>
      <c r="B761" s="13"/>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 r="A762" s="19"/>
      <c r="B762" s="13"/>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 r="A763" s="19"/>
      <c r="B763" s="13"/>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 r="A764" s="19"/>
      <c r="B764" s="13"/>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 r="A765" s="19"/>
      <c r="B765" s="13"/>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 r="A766" s="19"/>
      <c r="B766" s="13"/>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 r="A767" s="19"/>
      <c r="B767" s="13"/>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 r="A768" s="19"/>
      <c r="B768" s="13"/>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 r="A769" s="19"/>
      <c r="B769" s="13"/>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 r="A770" s="19"/>
      <c r="B770" s="13"/>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 r="A771" s="19"/>
      <c r="B771" s="13"/>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 r="A772" s="19"/>
      <c r="B772" s="13"/>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 r="A773" s="19"/>
      <c r="B773" s="13"/>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 r="A774" s="19"/>
      <c r="B774" s="13"/>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 r="A775" s="19"/>
      <c r="B775" s="13"/>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 r="A776" s="19"/>
      <c r="B776" s="13"/>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 r="A777" s="19"/>
      <c r="B777" s="13"/>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 r="A778" s="19"/>
      <c r="B778" s="13"/>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 r="A779" s="19"/>
      <c r="B779" s="13"/>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 r="A780" s="19"/>
      <c r="B780" s="13"/>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 r="A781" s="19"/>
      <c r="B781" s="13"/>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 r="A782" s="19"/>
      <c r="B782" s="13"/>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 r="A783" s="19"/>
      <c r="B783" s="13"/>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 r="A784" s="19"/>
      <c r="B784" s="13"/>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 r="A785" s="19"/>
      <c r="B785" s="13"/>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 r="A786" s="19"/>
      <c r="B786" s="13"/>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 r="A787" s="19"/>
      <c r="B787" s="13"/>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 r="A788" s="19"/>
      <c r="B788" s="13"/>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 r="A789" s="19"/>
      <c r="B789" s="13"/>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 r="A790" s="19"/>
      <c r="B790" s="13"/>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 r="A791" s="19"/>
      <c r="B791" s="13"/>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 r="A792" s="19"/>
      <c r="B792" s="13"/>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 r="A793" s="19"/>
      <c r="B793" s="13"/>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 r="A794" s="19"/>
      <c r="B794" s="13"/>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 r="A795" s="19"/>
      <c r="B795" s="13"/>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 r="A796" s="19"/>
      <c r="B796" s="13"/>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 r="A797" s="19"/>
      <c r="B797" s="13"/>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 r="A798" s="19"/>
      <c r="B798" s="13"/>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 r="A799" s="19"/>
      <c r="B799" s="13"/>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 r="A800" s="19"/>
      <c r="B800" s="13"/>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 r="A801" s="19"/>
      <c r="B801" s="13"/>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 r="A802" s="19"/>
      <c r="B802" s="13"/>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 r="A803" s="19"/>
      <c r="B803" s="13"/>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 r="A804" s="19"/>
      <c r="B804" s="13"/>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 r="A805" s="19"/>
      <c r="B805" s="13"/>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 r="A806" s="19"/>
      <c r="B806" s="13"/>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 r="A807" s="19"/>
      <c r="B807" s="13"/>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 r="A808" s="19"/>
      <c r="B808" s="13"/>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 r="A809" s="19"/>
      <c r="B809" s="13"/>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 r="A810" s="19"/>
      <c r="B810" s="13"/>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 r="A811" s="19"/>
      <c r="B811" s="13"/>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 r="A812" s="19"/>
      <c r="B812" s="13"/>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 r="A813" s="19"/>
      <c r="B813" s="13"/>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 r="A814" s="19"/>
      <c r="B814" s="13"/>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 r="A815" s="19"/>
      <c r="B815" s="13"/>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 r="A816" s="19"/>
      <c r="B816" s="13"/>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 r="A817" s="19"/>
      <c r="B817" s="13"/>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 r="A818" s="19"/>
      <c r="B818" s="13"/>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 r="A819" s="19"/>
      <c r="B819" s="13"/>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 r="A820" s="19"/>
      <c r="B820" s="13"/>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 r="A821" s="19"/>
      <c r="B821" s="13"/>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 r="A822" s="19"/>
      <c r="B822" s="13"/>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 r="A823" s="19"/>
      <c r="B823" s="13"/>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 r="A824" s="19"/>
      <c r="B824" s="13"/>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 r="A825" s="19"/>
      <c r="B825" s="13"/>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 r="A826" s="19"/>
      <c r="B826" s="13"/>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 r="A827" s="19"/>
      <c r="B827" s="13"/>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 r="A828" s="19"/>
      <c r="B828" s="13"/>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 r="A829" s="19"/>
      <c r="B829" s="13"/>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 r="A830" s="19"/>
      <c r="B830" s="13"/>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 r="A831" s="19"/>
      <c r="B831" s="13"/>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 r="A832" s="19"/>
      <c r="B832" s="13"/>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 r="A833" s="19"/>
      <c r="B833" s="13"/>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 r="A834" s="19"/>
      <c r="B834" s="13"/>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 r="A835" s="19"/>
      <c r="B835" s="13"/>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 r="A836" s="19"/>
      <c r="B836" s="13"/>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 r="A837" s="19"/>
      <c r="B837" s="13"/>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 r="A838" s="19"/>
      <c r="B838" s="13"/>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 r="A839" s="19"/>
      <c r="B839" s="13"/>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 r="A840" s="19"/>
      <c r="B840" s="13"/>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 r="A841" s="19"/>
      <c r="B841" s="13"/>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 r="A842" s="19"/>
      <c r="B842" s="13"/>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 r="A843" s="19"/>
      <c r="B843" s="13"/>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 r="A844" s="19"/>
      <c r="B844" s="13"/>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 r="A845" s="19"/>
      <c r="B845" s="13"/>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 r="A846" s="19"/>
      <c r="B846" s="13"/>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 r="A847" s="19"/>
      <c r="B847" s="13"/>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 r="A848" s="19"/>
      <c r="B848" s="13"/>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 r="A849" s="19"/>
      <c r="B849" s="13"/>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 r="A850" s="19"/>
      <c r="B850" s="13"/>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 r="A851" s="19"/>
      <c r="B851" s="13"/>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 r="A852" s="19"/>
      <c r="B852" s="13"/>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 r="A853" s="19"/>
      <c r="B853" s="13"/>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 r="A854" s="19"/>
      <c r="B854" s="13"/>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 r="A855" s="19"/>
      <c r="B855" s="13"/>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 r="A856" s="19"/>
      <c r="B856" s="13"/>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 r="A857" s="19"/>
      <c r="B857" s="13"/>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 r="A858" s="19"/>
      <c r="B858" s="13"/>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 r="A859" s="19"/>
      <c r="B859" s="13"/>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 r="A860" s="19"/>
      <c r="B860" s="13"/>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 r="A861" s="19"/>
      <c r="B861" s="13"/>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 r="A862" s="19"/>
      <c r="B862" s="13"/>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 r="A863" s="19"/>
      <c r="B863" s="13"/>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 r="A864" s="19"/>
      <c r="B864" s="13"/>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 r="A865" s="19"/>
      <c r="B865" s="13"/>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 r="A866" s="19"/>
      <c r="B866" s="13"/>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 r="A867" s="19"/>
      <c r="B867" s="13"/>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 r="A868" s="19"/>
      <c r="B868" s="13"/>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 r="A869" s="19"/>
      <c r="B869" s="13"/>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 r="A870" s="19"/>
      <c r="B870" s="13"/>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 r="A871" s="19"/>
      <c r="B871" s="13"/>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 r="A872" s="19"/>
      <c r="B872" s="13"/>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 r="A873" s="19"/>
      <c r="B873" s="13"/>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 r="A874" s="19"/>
      <c r="B874" s="13"/>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 r="A875" s="19"/>
      <c r="B875" s="13"/>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 r="A876" s="19"/>
      <c r="B876" s="13"/>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 r="A877" s="19"/>
      <c r="B877" s="13"/>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 r="A878" s="19"/>
      <c r="B878" s="13"/>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 r="A879" s="19"/>
      <c r="B879" s="13"/>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 r="A880" s="19"/>
      <c r="B880" s="13"/>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 r="A881" s="19"/>
      <c r="B881" s="13"/>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 r="A882" s="19"/>
      <c r="B882" s="13"/>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 r="A883" s="19"/>
      <c r="B883" s="13"/>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 r="A884" s="19"/>
      <c r="B884" s="13"/>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 r="A885" s="19"/>
      <c r="B885" s="13"/>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 r="A886" s="19"/>
      <c r="B886" s="13"/>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 r="A887" s="19"/>
      <c r="B887" s="13"/>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 r="A888" s="19"/>
      <c r="B888" s="13"/>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 r="A889" s="19"/>
      <c r="B889" s="13"/>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 r="A890" s="19"/>
      <c r="B890" s="13"/>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 r="A891" s="19"/>
      <c r="B891" s="13"/>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 r="A892" s="19"/>
      <c r="B892" s="13"/>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 r="A893" s="19"/>
      <c r="B893" s="13"/>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 r="A894" s="19"/>
      <c r="B894" s="13"/>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 r="A895" s="19"/>
      <c r="B895" s="13"/>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 r="A896" s="19"/>
      <c r="B896" s="13"/>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 r="A897" s="19"/>
      <c r="B897" s="13"/>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 r="A898" s="19"/>
      <c r="B898" s="13"/>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 r="A899" s="19"/>
      <c r="B899" s="13"/>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 r="A900" s="19"/>
      <c r="B900" s="13"/>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 r="A901" s="19"/>
      <c r="B901" s="13"/>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 r="A902" s="19"/>
      <c r="B902" s="13"/>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 r="A903" s="19"/>
      <c r="B903" s="13"/>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 r="A904" s="19"/>
      <c r="B904" s="13"/>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 r="A905" s="19"/>
      <c r="B905" s="13"/>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 r="A906" s="19"/>
      <c r="B906" s="13"/>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 r="A907" s="19"/>
      <c r="B907" s="13"/>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 r="A908" s="19"/>
      <c r="B908" s="13"/>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 r="A909" s="19"/>
      <c r="B909" s="13"/>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 r="A910" s="19"/>
      <c r="B910" s="13"/>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 r="A911" s="19"/>
      <c r="B911" s="13"/>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 r="A912" s="19"/>
      <c r="B912" s="13"/>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 r="A913" s="19"/>
      <c r="B913" s="13"/>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 r="A914" s="19"/>
      <c r="B914" s="13"/>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 r="A915" s="19"/>
      <c r="B915" s="13"/>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 r="A916" s="19"/>
      <c r="B916" s="13"/>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 r="A917" s="19"/>
      <c r="B917" s="13"/>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 r="A918" s="19"/>
      <c r="B918" s="13"/>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 r="A919" s="19"/>
      <c r="B919" s="13"/>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 r="A920" s="19"/>
      <c r="B920" s="13"/>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 r="A921" s="19"/>
      <c r="B921" s="13"/>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 r="A922" s="19"/>
      <c r="B922" s="13"/>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 r="A923" s="19"/>
      <c r="B923" s="13"/>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 r="A924" s="19"/>
      <c r="B924" s="13"/>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 r="A925" s="19"/>
      <c r="B925" s="13"/>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 r="A926" s="19"/>
      <c r="B926" s="13"/>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 r="A927" s="19"/>
      <c r="B927" s="13"/>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 r="A928" s="19"/>
      <c r="B928" s="13"/>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 r="A929" s="19"/>
      <c r="B929" s="13"/>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 r="A930" s="19"/>
      <c r="B930" s="13"/>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 r="A931" s="19"/>
      <c r="B931" s="13"/>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 r="A932" s="19"/>
      <c r="B932" s="13"/>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 r="A933" s="19"/>
      <c r="B933" s="13"/>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 r="A934" s="19"/>
      <c r="B934" s="13"/>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 r="A935" s="19"/>
      <c r="B935" s="13"/>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 r="A936" s="19"/>
      <c r="B936" s="13"/>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 r="A937" s="19"/>
      <c r="B937" s="13"/>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 r="A938" s="19"/>
      <c r="B938" s="13"/>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 r="A939" s="19"/>
      <c r="B939" s="13"/>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 r="A940" s="19"/>
      <c r="B940" s="13"/>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 r="A941" s="19"/>
      <c r="B941" s="13"/>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 r="A942" s="19"/>
      <c r="B942" s="13"/>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 r="A943" s="19"/>
      <c r="B943" s="13"/>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 r="A944" s="19"/>
      <c r="B944" s="13"/>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 r="A945" s="19"/>
      <c r="B945" s="13"/>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 r="A946" s="19"/>
      <c r="B946" s="13"/>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 r="A947" s="19"/>
      <c r="B947" s="13"/>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 r="A948" s="19"/>
      <c r="B948" s="13"/>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 r="A949" s="19"/>
      <c r="B949" s="13"/>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 r="A950" s="19"/>
      <c r="B950" s="13"/>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 r="A951" s="19"/>
      <c r="B951" s="13"/>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 r="A952" s="19"/>
      <c r="B952" s="13"/>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 r="A953" s="19"/>
      <c r="B953" s="13"/>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 r="A954" s="19"/>
      <c r="B954" s="13"/>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 r="A955" s="19"/>
      <c r="B955" s="13"/>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 r="A956" s="19"/>
      <c r="B956" s="13"/>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 r="A957" s="19"/>
      <c r="B957" s="13"/>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 r="A958" s="19"/>
      <c r="B958" s="13"/>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 r="A959" s="19"/>
      <c r="B959" s="13"/>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 r="A960" s="19"/>
      <c r="B960" s="13"/>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 r="A961" s="19"/>
      <c r="B961" s="13"/>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 r="A962" s="19"/>
      <c r="B962" s="13"/>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 r="A963" s="19"/>
      <c r="B963" s="13"/>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 r="A964" s="19"/>
      <c r="B964" s="13"/>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 r="A965" s="19"/>
      <c r="B965" s="13"/>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 r="A966" s="19"/>
      <c r="B966" s="13"/>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 r="A967" s="19"/>
      <c r="B967" s="13"/>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 r="A968" s="19"/>
      <c r="B968" s="13"/>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 r="A969" s="19"/>
      <c r="B969" s="13"/>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 r="A970" s="19"/>
      <c r="B970" s="13"/>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 r="A971" s="19"/>
      <c r="B971" s="13"/>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 r="A972" s="19"/>
      <c r="B972" s="13"/>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 r="A973" s="19"/>
      <c r="B973" s="13"/>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 r="A974" s="19"/>
      <c r="B974" s="13"/>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 r="A975" s="19"/>
      <c r="B975" s="13"/>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 r="A976" s="19"/>
      <c r="B976" s="13"/>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 r="A977" s="19"/>
      <c r="B977" s="13"/>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 r="A978" s="19"/>
      <c r="B978" s="13"/>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 r="A979" s="19"/>
      <c r="B979" s="13"/>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 r="A980" s="19"/>
      <c r="B980" s="13"/>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 r="A981" s="19"/>
      <c r="B981" s="13"/>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 r="A982" s="19"/>
      <c r="B982" s="13"/>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 r="A983" s="19"/>
      <c r="B983" s="13"/>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 r="A984" s="19"/>
      <c r="B984" s="13"/>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 r="A985" s="19"/>
      <c r="B985" s="13"/>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 r="A986" s="19"/>
      <c r="B986" s="13"/>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 r="A987" s="19"/>
      <c r="B987" s="13"/>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 r="A988" s="19"/>
      <c r="B988" s="13"/>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 r="A989" s="19"/>
      <c r="B989" s="13"/>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 r="A990" s="19"/>
      <c r="B990" s="13"/>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 r="A991" s="19"/>
      <c r="B991" s="13"/>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 r="A992" s="19"/>
      <c r="B992" s="13"/>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 r="A993" s="19"/>
      <c r="B993" s="13"/>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 r="A994" s="19"/>
      <c r="B994" s="13"/>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 r="A995" s="19"/>
      <c r="B995" s="13"/>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 r="A996" s="19"/>
      <c r="B996" s="13"/>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 r="A997" s="19"/>
      <c r="B997" s="13"/>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 r="A998" s="19"/>
      <c r="B998" s="13"/>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 r="A999" s="19"/>
      <c r="B999" s="13"/>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 r="A1000" s="19"/>
      <c r="B1000" s="13"/>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 r="A1001" s="19"/>
      <c r="B1001" s="13"/>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c r="A1002" s="1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ustomHeight="1"/>
    <row r="1004" spans="1:26" ht="15.75" customHeight="1"/>
    <row r="1005" spans="1:26" ht="15.75" customHeight="1"/>
    <row r="1006" spans="1:26" ht="15.75" customHeight="1"/>
    <row r="1007" spans="1:26" ht="15.75" customHeight="1"/>
    <row r="1008" spans="1:26" ht="15.75" customHeight="1"/>
    <row r="1009" ht="15.75" customHeight="1"/>
    <row r="1010" ht="15.75" customHeight="1"/>
  </sheetData>
  <mergeCells count="1">
    <mergeCell ref="A1:B3"/>
  </mergeCells>
  <hyperlinks>
    <hyperlink ref="A340" r:id="rId1"/>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Women</vt:lpstr>
      <vt:lpstr>Men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Vincent</dc:creator>
  <cp:lastModifiedBy>Russo, Vincent</cp:lastModifiedBy>
  <dcterms:created xsi:type="dcterms:W3CDTF">2020-05-21T14:58:18Z</dcterms:created>
  <dcterms:modified xsi:type="dcterms:W3CDTF">2020-05-21T15:44:38Z</dcterms:modified>
</cp:coreProperties>
</file>