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Summer Slimdown Challenge\"/>
    </mc:Choice>
  </mc:AlternateContent>
  <bookViews>
    <workbookView xWindow="0" yWindow="0" windowWidth="20490" windowHeight="7755"/>
  </bookViews>
  <sheets>
    <sheet name="Information - wk 4 &amp; 5" sheetId="10" r:id="rId1"/>
    <sheet name="Nutrition Plan" sheetId="1" r:id="rId2"/>
    <sheet name="FOOD SHEET 1" sheetId="3" state="hidden" r:id="rId3"/>
    <sheet name="FOOD SHEET 2" sheetId="4" state="hidden" r:id="rId4"/>
    <sheet name="FOOD SHEET 3" sheetId="5" state="hidden" r:id="rId5"/>
    <sheet name="FOOD SHEET 4" sheetId="6" state="hidden" r:id="rId6"/>
    <sheet name="FOOD SHEET 5" sheetId="7" state="hidden" r:id="rId7"/>
    <sheet name="FOOD SHEET 6" sheetId="8" state="hidden" r:id="rId8"/>
    <sheet name="FOOD SHEET 7" sheetId="9" state="hidden" r:id="rId9"/>
  </sheets>
  <externalReferences>
    <externalReference r:id="rId10"/>
  </externalReferences>
  <definedNames>
    <definedName name="BodyType">'[1]Choice Food Calculations'!$A$54:$A$56</definedName>
    <definedName name="Breads_Cereals_Rice_Potatoes_and_Others" localSheetId="3">'FOOD SHEET 2'!$B$2:$B$26</definedName>
    <definedName name="Breads_Cereals_Rice_Potatoes_and_Others" localSheetId="4">'FOOD SHEET 3'!$B$2:$B$26</definedName>
    <definedName name="Breads_Cereals_Rice_Potatoes_and_Others" localSheetId="5">'FOOD SHEET 4'!$B$2:$B$26</definedName>
    <definedName name="Breads_Cereals_Rice_Potatoes_and_Others" localSheetId="6">'FOOD SHEET 5'!$B$2:$B$26</definedName>
    <definedName name="Breads_Cereals_Rice_Potatoes_and_Others" localSheetId="7">'FOOD SHEET 6'!$B$2:$B$26</definedName>
    <definedName name="Breads_Cereals_Rice_Potatoes_and_Others" localSheetId="8">'FOOD SHEET 7'!$B$2:$B$26</definedName>
    <definedName name="Breads_Cereals_Rice_Potatoes_and_Others">'FOOD SHEET 1'!$B$2:$B$26</definedName>
    <definedName name="Eggs_and_Dairy" localSheetId="3">'FOOD SHEET 2'!$B$28:$B$53</definedName>
    <definedName name="Eggs_and_Dairy" localSheetId="4">'FOOD SHEET 3'!$B$28:$B$53</definedName>
    <definedName name="Eggs_and_Dairy" localSheetId="5">'FOOD SHEET 4'!$B$28:$B$53</definedName>
    <definedName name="Eggs_and_Dairy" localSheetId="6">'FOOD SHEET 5'!$B$28:$B$53</definedName>
    <definedName name="Eggs_and_Dairy" localSheetId="7">'FOOD SHEET 6'!$B$28:$B$53</definedName>
    <definedName name="Eggs_and_Dairy" localSheetId="8">'FOOD SHEET 7'!$B$28:$B$53</definedName>
    <definedName name="Eggs_and_Dairy">'FOOD SHEET 1'!$B$28:$B$53</definedName>
    <definedName name="Fruit_and_Vegetables" localSheetId="3">'FOOD SHEET 2'!$B$133:$B$159</definedName>
    <definedName name="Fruit_and_Vegetables" localSheetId="4">'FOOD SHEET 3'!$B$133:$B$159</definedName>
    <definedName name="Fruit_and_Vegetables" localSheetId="5">'FOOD SHEET 4'!$B$133:$B$159</definedName>
    <definedName name="Fruit_and_Vegetables" localSheetId="6">'FOOD SHEET 5'!$B$133:$B$159</definedName>
    <definedName name="Fruit_and_Vegetables" localSheetId="7">'FOOD SHEET 6'!$B$133:$B$159</definedName>
    <definedName name="Fruit_and_Vegetables" localSheetId="8">'FOOD SHEET 7'!$B$133:$B$159</definedName>
    <definedName name="Fruit_and_Vegetables">'FOOD SHEET 1'!$B$133:$B$159</definedName>
    <definedName name="Meats_and_Fish" localSheetId="3">'FOOD SHEET 2'!$B$73:$B$108</definedName>
    <definedName name="Meats_and_Fish" localSheetId="4">'FOOD SHEET 3'!$B$73:$B$108</definedName>
    <definedName name="Meats_and_Fish" localSheetId="5">'FOOD SHEET 4'!$B$73:$B$108</definedName>
    <definedName name="Meats_and_Fish" localSheetId="6">'FOOD SHEET 5'!$B$73:$B$108</definedName>
    <definedName name="Meats_and_Fish" localSheetId="7">'FOOD SHEET 6'!$B$73:$B$108</definedName>
    <definedName name="Meats_and_Fish" localSheetId="8">'FOOD SHEET 7'!$B$73:$B$108</definedName>
    <definedName name="Meats_and_Fish">'FOOD SHEET 1'!$B$73:$B$108</definedName>
    <definedName name="Protein_Powders_and_Bars" localSheetId="3">'FOOD SHEET 2'!$B$110:$B$131</definedName>
    <definedName name="Protein_Powders_and_Bars" localSheetId="4">'FOOD SHEET 3'!$B$110:$B$131</definedName>
    <definedName name="Protein_Powders_and_Bars" localSheetId="5">'FOOD SHEET 4'!$B$110:$B$131</definedName>
    <definedName name="Protein_Powders_and_Bars" localSheetId="6">'FOOD SHEET 5'!$B$110:$B$131</definedName>
    <definedName name="Protein_Powders_and_Bars" localSheetId="7">'FOOD SHEET 6'!$B$110:$B$131</definedName>
    <definedName name="Protein_Powders_and_Bars" localSheetId="8">'FOOD SHEET 7'!$B$110:$B$131</definedName>
    <definedName name="Protein_Powders_and_Bars">'FOOD SHEET 1'!$B$110:$B$131</definedName>
    <definedName name="Seed_Nuts_Nut_Butters_and_Oils" localSheetId="3">'FOOD SHEET 2'!$B$55:$B$71</definedName>
    <definedName name="Seed_Nuts_Nut_Butters_and_Oils" localSheetId="4">'FOOD SHEET 3'!$B$55:$B$71</definedName>
    <definedName name="Seed_Nuts_Nut_Butters_and_Oils" localSheetId="5">'FOOD SHEET 4'!$B$55:$B$71</definedName>
    <definedName name="Seed_Nuts_Nut_Butters_and_Oils" localSheetId="6">'FOOD SHEET 5'!$B$55:$B$71</definedName>
    <definedName name="Seed_Nuts_Nut_Butters_and_Oils" localSheetId="7">'FOOD SHEET 6'!$B$55:$B$71</definedName>
    <definedName name="Seed_Nuts_Nut_Butters_and_Oils" localSheetId="8">'FOOD SHEET 7'!$B$55:$B$71</definedName>
    <definedName name="Seed_Nuts_Nut_Butters_and_Oils">'FOOD SHEET 1'!$B$55:$B$71</definedName>
    <definedName name="Weights" localSheetId="3">#REF!</definedName>
    <definedName name="Weights" localSheetId="4">#REF!</definedName>
    <definedName name="Weights" localSheetId="5">#REF!</definedName>
    <definedName name="Weights" localSheetId="6">#REF!</definedName>
    <definedName name="Weights" localSheetId="7">#REF!</definedName>
    <definedName name="Weights" localSheetId="8">#REF!</definedName>
    <definedName name="Weights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R37" i="3" l="1"/>
  <c r="I4" i="1" l="1"/>
  <c r="I8" i="10"/>
  <c r="O11" i="10"/>
  <c r="M10" i="10"/>
  <c r="G10" i="10"/>
  <c r="B5" i="10"/>
  <c r="O4" i="10"/>
  <c r="O8" i="10" s="1"/>
  <c r="O12" i="10" s="1"/>
  <c r="M4" i="10"/>
  <c r="M7" i="10" s="1"/>
  <c r="M11" i="10" s="1"/>
  <c r="B4" i="10"/>
  <c r="B3" i="10"/>
  <c r="H12" i="10"/>
  <c r="R31" i="3" l="1"/>
  <c r="R32" i="3"/>
  <c r="B9" i="10" s="1"/>
  <c r="R36" i="3" s="1"/>
  <c r="M12" i="10"/>
  <c r="O13" i="10"/>
  <c r="T19" i="3"/>
  <c r="S19" i="3"/>
  <c r="R19" i="3"/>
  <c r="T18" i="3"/>
  <c r="S18" i="3"/>
  <c r="R18" i="3"/>
  <c r="T17" i="3"/>
  <c r="S17" i="3"/>
  <c r="R17" i="3"/>
  <c r="T16" i="3"/>
  <c r="S16" i="3"/>
  <c r="R16" i="3"/>
  <c r="D159" i="9"/>
  <c r="D158" i="9"/>
  <c r="D157" i="9"/>
  <c r="D156" i="9"/>
  <c r="G156" i="9"/>
  <c r="D155" i="9"/>
  <c r="D154" i="9"/>
  <c r="D153" i="9"/>
  <c r="D152" i="9"/>
  <c r="E152" i="9"/>
  <c r="D151" i="9"/>
  <c r="D150" i="9"/>
  <c r="D149" i="9"/>
  <c r="D148" i="9"/>
  <c r="D147" i="9"/>
  <c r="D146" i="9"/>
  <c r="D145" i="9"/>
  <c r="D144" i="9"/>
  <c r="E144" i="9"/>
  <c r="D143" i="9"/>
  <c r="D142" i="9"/>
  <c r="D141" i="9"/>
  <c r="G141" i="9"/>
  <c r="D140" i="9"/>
  <c r="G140" i="9"/>
  <c r="D139" i="9"/>
  <c r="D138" i="9"/>
  <c r="D137" i="9"/>
  <c r="E137" i="9"/>
  <c r="D136" i="9"/>
  <c r="G136" i="9"/>
  <c r="H136" i="9"/>
  <c r="D135" i="9"/>
  <c r="D134" i="9"/>
  <c r="D133" i="9"/>
  <c r="D131" i="9"/>
  <c r="E131" i="9"/>
  <c r="D130" i="9"/>
  <c r="D129" i="9"/>
  <c r="D128" i="9"/>
  <c r="D127" i="9"/>
  <c r="G127" i="9"/>
  <c r="D126" i="9"/>
  <c r="D125" i="9"/>
  <c r="D124" i="9"/>
  <c r="D123" i="9"/>
  <c r="E123" i="9"/>
  <c r="D122" i="9"/>
  <c r="D121" i="9"/>
  <c r="D120" i="9"/>
  <c r="D119" i="9"/>
  <c r="G119" i="9"/>
  <c r="D118" i="9"/>
  <c r="D117" i="9"/>
  <c r="D116" i="9"/>
  <c r="D115" i="9"/>
  <c r="D114" i="9"/>
  <c r="D113" i="9"/>
  <c r="D112" i="9"/>
  <c r="G112" i="9"/>
  <c r="D111" i="9"/>
  <c r="G111" i="9"/>
  <c r="D110" i="9"/>
  <c r="D108" i="9"/>
  <c r="D107" i="9"/>
  <c r="D106" i="9"/>
  <c r="E106" i="9"/>
  <c r="D105" i="9"/>
  <c r="D104" i="9"/>
  <c r="D103" i="9"/>
  <c r="F103" i="9"/>
  <c r="D102" i="9"/>
  <c r="E102" i="9"/>
  <c r="D101" i="9"/>
  <c r="D100" i="9"/>
  <c r="D99" i="9"/>
  <c r="D98" i="9"/>
  <c r="F98" i="9"/>
  <c r="D97" i="9"/>
  <c r="D96" i="9"/>
  <c r="D95" i="9"/>
  <c r="E95" i="9"/>
  <c r="D94" i="9"/>
  <c r="E94" i="9"/>
  <c r="D93" i="9"/>
  <c r="D92" i="9"/>
  <c r="D91" i="9"/>
  <c r="D90" i="9"/>
  <c r="F90" i="9"/>
  <c r="D89" i="9"/>
  <c r="D88" i="9"/>
  <c r="D87" i="9"/>
  <c r="E87" i="9"/>
  <c r="H87" i="9"/>
  <c r="D86" i="9"/>
  <c r="E86" i="9"/>
  <c r="H86" i="9"/>
  <c r="D85" i="9"/>
  <c r="D84" i="9"/>
  <c r="D83" i="9"/>
  <c r="D82" i="9"/>
  <c r="E82" i="9"/>
  <c r="D81" i="9"/>
  <c r="D80" i="9"/>
  <c r="D79" i="9"/>
  <c r="F79" i="9"/>
  <c r="D78" i="9"/>
  <c r="E78" i="9"/>
  <c r="D77" i="9"/>
  <c r="D76" i="9"/>
  <c r="D75" i="9"/>
  <c r="D74" i="9"/>
  <c r="D73" i="9"/>
  <c r="D71" i="9"/>
  <c r="D70" i="9"/>
  <c r="G70" i="9"/>
  <c r="D69" i="9"/>
  <c r="G69" i="9"/>
  <c r="D68" i="9"/>
  <c r="D67" i="9"/>
  <c r="D66" i="9"/>
  <c r="D65" i="9"/>
  <c r="G65" i="9"/>
  <c r="D64" i="9"/>
  <c r="D63" i="9"/>
  <c r="D62" i="9"/>
  <c r="D61" i="9"/>
  <c r="G61" i="9"/>
  <c r="D60" i="9"/>
  <c r="D59" i="9"/>
  <c r="D58" i="9"/>
  <c r="D57" i="9"/>
  <c r="D56" i="9"/>
  <c r="D55" i="9"/>
  <c r="D53" i="9"/>
  <c r="D52" i="9"/>
  <c r="F52" i="9"/>
  <c r="D51" i="9"/>
  <c r="D50" i="9"/>
  <c r="D49" i="9"/>
  <c r="D48" i="9"/>
  <c r="D47" i="9"/>
  <c r="D46" i="9"/>
  <c r="D45" i="9"/>
  <c r="E45" i="9"/>
  <c r="H45" i="9"/>
  <c r="D44" i="9"/>
  <c r="D43" i="9"/>
  <c r="D42" i="9"/>
  <c r="D41" i="9"/>
  <c r="D40" i="9"/>
  <c r="G40" i="9"/>
  <c r="D39" i="9"/>
  <c r="D38" i="9"/>
  <c r="D37" i="9"/>
  <c r="D36" i="9"/>
  <c r="E36" i="9"/>
  <c r="D35" i="9"/>
  <c r="D34" i="9"/>
  <c r="D33" i="9"/>
  <c r="D32" i="9"/>
  <c r="G32" i="9"/>
  <c r="D31" i="9"/>
  <c r="D30" i="9"/>
  <c r="D29" i="9"/>
  <c r="G29" i="9"/>
  <c r="D28" i="9"/>
  <c r="E28" i="9"/>
  <c r="D26" i="9"/>
  <c r="D25" i="9"/>
  <c r="D24" i="9"/>
  <c r="G24" i="9"/>
  <c r="D23" i="9"/>
  <c r="D22" i="9"/>
  <c r="D21" i="9"/>
  <c r="D20" i="9"/>
  <c r="G20" i="9"/>
  <c r="D19" i="9"/>
  <c r="G19" i="9"/>
  <c r="D18" i="9"/>
  <c r="D17" i="9"/>
  <c r="D16" i="9"/>
  <c r="D15" i="9"/>
  <c r="D14" i="9"/>
  <c r="D13" i="9"/>
  <c r="D12" i="9"/>
  <c r="G12" i="9"/>
  <c r="D11" i="9"/>
  <c r="F11" i="9"/>
  <c r="D10" i="9"/>
  <c r="D9" i="9"/>
  <c r="D8" i="9"/>
  <c r="G8" i="9"/>
  <c r="D7" i="9"/>
  <c r="F7" i="9"/>
  <c r="D6" i="9"/>
  <c r="D5" i="9"/>
  <c r="D4" i="9"/>
  <c r="G4" i="9"/>
  <c r="D3" i="9"/>
  <c r="D2" i="9"/>
  <c r="D159" i="8"/>
  <c r="D158" i="8"/>
  <c r="D157" i="8"/>
  <c r="G157" i="8"/>
  <c r="D156" i="8"/>
  <c r="D155" i="8"/>
  <c r="D154" i="8"/>
  <c r="D153" i="8"/>
  <c r="G153" i="8"/>
  <c r="D152" i="8"/>
  <c r="G152" i="8"/>
  <c r="D151" i="8"/>
  <c r="D150" i="8"/>
  <c r="D149" i="8"/>
  <c r="D148" i="8"/>
  <c r="D147" i="8"/>
  <c r="D146" i="8"/>
  <c r="D145" i="8"/>
  <c r="D144" i="8"/>
  <c r="G144" i="8"/>
  <c r="D143" i="8"/>
  <c r="D142" i="8"/>
  <c r="E142" i="8"/>
  <c r="D141" i="8"/>
  <c r="G141" i="8"/>
  <c r="D140" i="8"/>
  <c r="D139" i="8"/>
  <c r="D138" i="8"/>
  <c r="D137" i="8"/>
  <c r="F137" i="8"/>
  <c r="D136" i="8"/>
  <c r="G136" i="8"/>
  <c r="H136" i="8"/>
  <c r="D135" i="8"/>
  <c r="D134" i="8"/>
  <c r="D133" i="8"/>
  <c r="G133" i="8"/>
  <c r="D131" i="8"/>
  <c r="D130" i="8"/>
  <c r="D129" i="8"/>
  <c r="D128" i="8"/>
  <c r="G128" i="8"/>
  <c r="D127" i="8"/>
  <c r="G127" i="8"/>
  <c r="D126" i="8"/>
  <c r="D125" i="8"/>
  <c r="D124" i="8"/>
  <c r="F124" i="8"/>
  <c r="D123" i="8"/>
  <c r="D122" i="8"/>
  <c r="D121" i="8"/>
  <c r="D120" i="8"/>
  <c r="G120" i="8"/>
  <c r="D119" i="8"/>
  <c r="G119" i="8"/>
  <c r="D118" i="8"/>
  <c r="D117" i="8"/>
  <c r="D116" i="8"/>
  <c r="G116" i="8"/>
  <c r="D115" i="8"/>
  <c r="D114" i="8"/>
  <c r="D113" i="8"/>
  <c r="G113" i="8"/>
  <c r="D112" i="8"/>
  <c r="G112" i="8"/>
  <c r="D111" i="8"/>
  <c r="D110" i="8"/>
  <c r="D108" i="8"/>
  <c r="D107" i="8"/>
  <c r="F107" i="8"/>
  <c r="D106" i="8"/>
  <c r="D105" i="8"/>
  <c r="D104" i="8"/>
  <c r="D103" i="8"/>
  <c r="F103" i="8"/>
  <c r="D102" i="8"/>
  <c r="E102" i="8"/>
  <c r="D101" i="8"/>
  <c r="D100" i="8"/>
  <c r="D99" i="8"/>
  <c r="F99" i="8"/>
  <c r="D98" i="8"/>
  <c r="D97" i="8"/>
  <c r="D96" i="8"/>
  <c r="F96" i="8"/>
  <c r="D95" i="8"/>
  <c r="D94" i="8"/>
  <c r="E94" i="8"/>
  <c r="D93" i="8"/>
  <c r="D92" i="8"/>
  <c r="E92" i="8"/>
  <c r="D91" i="8"/>
  <c r="F91" i="8"/>
  <c r="D90" i="8"/>
  <c r="D89" i="8"/>
  <c r="D88" i="8"/>
  <c r="E88" i="8"/>
  <c r="D87" i="8"/>
  <c r="E87" i="8"/>
  <c r="H87" i="8"/>
  <c r="D86" i="8"/>
  <c r="E86" i="8"/>
  <c r="H86" i="8"/>
  <c r="D85" i="8"/>
  <c r="D84" i="8"/>
  <c r="D83" i="8"/>
  <c r="D82" i="8"/>
  <c r="D81" i="8"/>
  <c r="D80" i="8"/>
  <c r="D79" i="8"/>
  <c r="D78" i="8"/>
  <c r="D77" i="8"/>
  <c r="D76" i="8"/>
  <c r="D75" i="8"/>
  <c r="D74" i="8"/>
  <c r="D73" i="8"/>
  <c r="D71" i="8"/>
  <c r="D70" i="8"/>
  <c r="G70" i="8"/>
  <c r="D69" i="8"/>
  <c r="G69" i="8"/>
  <c r="D68" i="8"/>
  <c r="D67" i="8"/>
  <c r="D66" i="8"/>
  <c r="F66" i="8"/>
  <c r="H66" i="8"/>
  <c r="D65" i="8"/>
  <c r="D64" i="8"/>
  <c r="D63" i="8"/>
  <c r="D62" i="8"/>
  <c r="G62" i="8"/>
  <c r="D61" i="8"/>
  <c r="G61" i="8"/>
  <c r="D60" i="8"/>
  <c r="D59" i="8"/>
  <c r="D58" i="8"/>
  <c r="E58" i="8"/>
  <c r="D57" i="8"/>
  <c r="D56" i="8"/>
  <c r="D55" i="8"/>
  <c r="D53" i="8"/>
  <c r="G53" i="8"/>
  <c r="D52" i="8"/>
  <c r="G52" i="8"/>
  <c r="D51" i="8"/>
  <c r="D50" i="8"/>
  <c r="D49" i="8"/>
  <c r="D48" i="8"/>
  <c r="D47" i="8"/>
  <c r="D46" i="8"/>
  <c r="D45" i="8"/>
  <c r="E45" i="8"/>
  <c r="H45" i="8"/>
  <c r="D44" i="8"/>
  <c r="G44" i="8"/>
  <c r="D43" i="8"/>
  <c r="D42" i="8"/>
  <c r="D41" i="8"/>
  <c r="F41" i="8"/>
  <c r="D40" i="8"/>
  <c r="D39" i="8"/>
  <c r="D38" i="8"/>
  <c r="D37" i="8"/>
  <c r="F37" i="8"/>
  <c r="D36" i="8"/>
  <c r="E36" i="8"/>
  <c r="D35" i="8"/>
  <c r="D34" i="8"/>
  <c r="G34" i="8"/>
  <c r="D33" i="8"/>
  <c r="G33" i="8"/>
  <c r="D32" i="8"/>
  <c r="D31" i="8"/>
  <c r="D30" i="8"/>
  <c r="D29" i="8"/>
  <c r="F29" i="8"/>
  <c r="D28" i="8"/>
  <c r="D26" i="8"/>
  <c r="D25" i="8"/>
  <c r="G25" i="8"/>
  <c r="D24" i="8"/>
  <c r="F24" i="8"/>
  <c r="D23" i="8"/>
  <c r="D22" i="8"/>
  <c r="D21" i="8"/>
  <c r="G21" i="8"/>
  <c r="D20" i="8"/>
  <c r="G20" i="8"/>
  <c r="D19" i="8"/>
  <c r="D18" i="8"/>
  <c r="D17" i="8"/>
  <c r="D16" i="8"/>
  <c r="D15" i="8"/>
  <c r="D14" i="8"/>
  <c r="D13" i="8"/>
  <c r="D12" i="8"/>
  <c r="G12" i="8"/>
  <c r="D11" i="8"/>
  <c r="G11" i="8"/>
  <c r="D10" i="8"/>
  <c r="D9" i="8"/>
  <c r="D8" i="8"/>
  <c r="G8" i="8"/>
  <c r="D7" i="8"/>
  <c r="D6" i="8"/>
  <c r="D5" i="8"/>
  <c r="D4" i="8"/>
  <c r="D3" i="8"/>
  <c r="G3" i="8"/>
  <c r="D2" i="8"/>
  <c r="D159" i="7"/>
  <c r="G159" i="7"/>
  <c r="D158" i="7"/>
  <c r="D157" i="7"/>
  <c r="D156" i="7"/>
  <c r="D155" i="7"/>
  <c r="D154" i="7"/>
  <c r="G154" i="7"/>
  <c r="D153" i="7"/>
  <c r="G153" i="7"/>
  <c r="D152" i="7"/>
  <c r="D151" i="7"/>
  <c r="D150" i="7"/>
  <c r="D149" i="7"/>
  <c r="D148" i="7"/>
  <c r="D147" i="7"/>
  <c r="D146" i="7"/>
  <c r="G146" i="7"/>
  <c r="D145" i="7"/>
  <c r="D144" i="7"/>
  <c r="D143" i="7"/>
  <c r="D142" i="7"/>
  <c r="E142" i="7"/>
  <c r="D141" i="7"/>
  <c r="D140" i="7"/>
  <c r="D139" i="7"/>
  <c r="D138" i="7"/>
  <c r="G138" i="7"/>
  <c r="D137" i="7"/>
  <c r="G137" i="7"/>
  <c r="D136" i="7"/>
  <c r="D135" i="7"/>
  <c r="D134" i="7"/>
  <c r="D133" i="7"/>
  <c r="D131" i="7"/>
  <c r="D130" i="7"/>
  <c r="D129" i="7"/>
  <c r="D128" i="7"/>
  <c r="D127" i="7"/>
  <c r="D126" i="7"/>
  <c r="F126" i="7"/>
  <c r="D125" i="7"/>
  <c r="D124" i="7"/>
  <c r="D123" i="7"/>
  <c r="D122" i="7"/>
  <c r="G122" i="7"/>
  <c r="D121" i="7"/>
  <c r="G121" i="7"/>
  <c r="D120" i="7"/>
  <c r="G120" i="7"/>
  <c r="D119" i="7"/>
  <c r="D118" i="7"/>
  <c r="D117" i="7"/>
  <c r="D116" i="7"/>
  <c r="D115" i="7"/>
  <c r="D114" i="7"/>
  <c r="G114" i="7"/>
  <c r="D113" i="7"/>
  <c r="G113" i="7"/>
  <c r="D112" i="7"/>
  <c r="G112" i="7"/>
  <c r="D111" i="7"/>
  <c r="D110" i="7"/>
  <c r="D108" i="7"/>
  <c r="D107" i="7"/>
  <c r="D106" i="7"/>
  <c r="D105" i="7"/>
  <c r="F105" i="7"/>
  <c r="D104" i="7"/>
  <c r="E104" i="7"/>
  <c r="D103" i="7"/>
  <c r="F103" i="7"/>
  <c r="D102" i="7"/>
  <c r="D101" i="7"/>
  <c r="F101" i="7"/>
  <c r="D100" i="7"/>
  <c r="E100" i="7"/>
  <c r="D99" i="7"/>
  <c r="D98" i="7"/>
  <c r="D97" i="7"/>
  <c r="D96" i="7"/>
  <c r="F96" i="7"/>
  <c r="D95" i="7"/>
  <c r="E95" i="7"/>
  <c r="D94" i="7"/>
  <c r="D93" i="7"/>
  <c r="D92" i="7"/>
  <c r="D91" i="7"/>
  <c r="D90" i="7"/>
  <c r="D89" i="7"/>
  <c r="D88" i="7"/>
  <c r="E88" i="7"/>
  <c r="D87" i="7"/>
  <c r="E87" i="7"/>
  <c r="H87" i="7"/>
  <c r="D86" i="7"/>
  <c r="D85" i="7"/>
  <c r="E85" i="7"/>
  <c r="D84" i="7"/>
  <c r="D83" i="7"/>
  <c r="D82" i="7"/>
  <c r="D81" i="7"/>
  <c r="E81" i="7"/>
  <c r="D80" i="7"/>
  <c r="D79" i="7"/>
  <c r="D78" i="7"/>
  <c r="D77" i="7"/>
  <c r="D76" i="7"/>
  <c r="D75" i="7"/>
  <c r="D74" i="7"/>
  <c r="D73" i="7"/>
  <c r="F73" i="7"/>
  <c r="D71" i="7"/>
  <c r="G71" i="7"/>
  <c r="D70" i="7"/>
  <c r="G70" i="7"/>
  <c r="D69" i="7"/>
  <c r="D68" i="7"/>
  <c r="D67" i="7"/>
  <c r="F67" i="7"/>
  <c r="D66" i="7"/>
  <c r="D65" i="7"/>
  <c r="D64" i="7"/>
  <c r="G64" i="7"/>
  <c r="D63" i="7"/>
  <c r="G63" i="7"/>
  <c r="D62" i="7"/>
  <c r="G62" i="7"/>
  <c r="D61" i="7"/>
  <c r="D60" i="7"/>
  <c r="D59" i="7"/>
  <c r="G59" i="7"/>
  <c r="D58" i="7"/>
  <c r="D57" i="7"/>
  <c r="D56" i="7"/>
  <c r="D55" i="7"/>
  <c r="D53" i="7"/>
  <c r="G53" i="7"/>
  <c r="D52" i="7"/>
  <c r="D51" i="7"/>
  <c r="D50" i="7"/>
  <c r="D49" i="7"/>
  <c r="D48" i="7"/>
  <c r="D47" i="7"/>
  <c r="G47" i="7"/>
  <c r="D46" i="7"/>
  <c r="G46" i="7"/>
  <c r="D45" i="7"/>
  <c r="E45" i="7"/>
  <c r="H45" i="7"/>
  <c r="D44" i="7"/>
  <c r="D43" i="7"/>
  <c r="D42" i="7"/>
  <c r="D41" i="7"/>
  <c r="D40" i="7"/>
  <c r="D39" i="7"/>
  <c r="D38" i="7"/>
  <c r="D37" i="7"/>
  <c r="G37" i="7"/>
  <c r="D36" i="7"/>
  <c r="D35" i="7"/>
  <c r="D34" i="7"/>
  <c r="D33" i="7"/>
  <c r="D32" i="7"/>
  <c r="D31" i="7"/>
  <c r="F31" i="7"/>
  <c r="D30" i="7"/>
  <c r="D29" i="7"/>
  <c r="D28" i="7"/>
  <c r="D26" i="7"/>
  <c r="D25" i="7"/>
  <c r="G25" i="7"/>
  <c r="D24" i="7"/>
  <c r="D23" i="7"/>
  <c r="D22" i="7"/>
  <c r="E22" i="7"/>
  <c r="D21" i="7"/>
  <c r="D20" i="7"/>
  <c r="G20" i="7"/>
  <c r="D19" i="7"/>
  <c r="D18" i="7"/>
  <c r="D17" i="7"/>
  <c r="G17" i="7"/>
  <c r="D16" i="7"/>
  <c r="D15" i="7"/>
  <c r="D14" i="7"/>
  <c r="E14" i="7"/>
  <c r="D13" i="7"/>
  <c r="D12" i="7"/>
  <c r="G12" i="7"/>
  <c r="D11" i="7"/>
  <c r="D10" i="7"/>
  <c r="G10" i="7"/>
  <c r="D9" i="7"/>
  <c r="G9" i="7"/>
  <c r="H9" i="7"/>
  <c r="D8" i="7"/>
  <c r="D7" i="7"/>
  <c r="D6" i="7"/>
  <c r="D5" i="7"/>
  <c r="D4" i="7"/>
  <c r="G4" i="7"/>
  <c r="D3" i="7"/>
  <c r="D2" i="7"/>
  <c r="F2" i="7"/>
  <c r="D159" i="6"/>
  <c r="G159" i="6"/>
  <c r="D158" i="6"/>
  <c r="D157" i="6"/>
  <c r="D156" i="6"/>
  <c r="D155" i="6"/>
  <c r="G155" i="6"/>
  <c r="D154" i="6"/>
  <c r="D153" i="6"/>
  <c r="D152" i="6"/>
  <c r="D151" i="6"/>
  <c r="G151" i="6"/>
  <c r="D150" i="6"/>
  <c r="D149" i="6"/>
  <c r="D148" i="6"/>
  <c r="D147" i="6"/>
  <c r="D146" i="6"/>
  <c r="D145" i="6"/>
  <c r="D144" i="6"/>
  <c r="D143" i="6"/>
  <c r="D142" i="6"/>
  <c r="D141" i="6"/>
  <c r="D140" i="6"/>
  <c r="D139" i="6"/>
  <c r="D138" i="6"/>
  <c r="D137" i="6"/>
  <c r="D136" i="6"/>
  <c r="D135" i="6"/>
  <c r="D134" i="6"/>
  <c r="D133" i="6"/>
  <c r="D131" i="6"/>
  <c r="D130" i="6"/>
  <c r="D129" i="6"/>
  <c r="D128" i="6"/>
  <c r="D127" i="6"/>
  <c r="D126" i="6"/>
  <c r="D125" i="6"/>
  <c r="D124" i="6"/>
  <c r="D123" i="6"/>
  <c r="D122" i="6"/>
  <c r="G122" i="6"/>
  <c r="D121" i="6"/>
  <c r="D120" i="6"/>
  <c r="D119" i="6"/>
  <c r="D118" i="6"/>
  <c r="G118" i="6"/>
  <c r="D117" i="6"/>
  <c r="D116" i="6"/>
  <c r="D115" i="6"/>
  <c r="D114" i="6"/>
  <c r="G114" i="6"/>
  <c r="D113" i="6"/>
  <c r="D112" i="6"/>
  <c r="D111" i="6"/>
  <c r="D110" i="6"/>
  <c r="F110" i="6"/>
  <c r="D108" i="6"/>
  <c r="D107" i="6"/>
  <c r="D106" i="6"/>
  <c r="D105" i="6"/>
  <c r="D104" i="6"/>
  <c r="D103" i="6"/>
  <c r="D102" i="6"/>
  <c r="E102" i="6"/>
  <c r="D101" i="6"/>
  <c r="D100" i="6"/>
  <c r="D99" i="6"/>
  <c r="D98" i="6"/>
  <c r="D97" i="6"/>
  <c r="D96" i="6"/>
  <c r="D95" i="6"/>
  <c r="D94" i="6"/>
  <c r="E94" i="6"/>
  <c r="D93" i="6"/>
  <c r="D92" i="6"/>
  <c r="D91" i="6"/>
  <c r="D90" i="6"/>
  <c r="F90" i="6"/>
  <c r="D89" i="6"/>
  <c r="E89" i="6"/>
  <c r="D88" i="6"/>
  <c r="D87" i="6"/>
  <c r="D86" i="6"/>
  <c r="D85" i="6"/>
  <c r="D84" i="6"/>
  <c r="D83" i="6"/>
  <c r="D82" i="6"/>
  <c r="D81" i="6"/>
  <c r="E81" i="6"/>
  <c r="D80" i="6"/>
  <c r="D79" i="6"/>
  <c r="D78" i="6"/>
  <c r="D77" i="6"/>
  <c r="F77" i="6"/>
  <c r="D76" i="6"/>
  <c r="D75" i="6"/>
  <c r="D74" i="6"/>
  <c r="D73" i="6"/>
  <c r="F73" i="6"/>
  <c r="D71" i="6"/>
  <c r="D70" i="6"/>
  <c r="D69" i="6"/>
  <c r="D68" i="6"/>
  <c r="E68" i="6"/>
  <c r="D67" i="6"/>
  <c r="D66" i="6"/>
  <c r="D65" i="6"/>
  <c r="D64" i="6"/>
  <c r="G64" i="6"/>
  <c r="D63" i="6"/>
  <c r="D62" i="6"/>
  <c r="D61" i="6"/>
  <c r="D60" i="6"/>
  <c r="G60" i="6"/>
  <c r="D59" i="6"/>
  <c r="D58" i="6"/>
  <c r="D57" i="6"/>
  <c r="G57" i="6"/>
  <c r="D56" i="6"/>
  <c r="G56" i="6"/>
  <c r="D55" i="6"/>
  <c r="D53" i="6"/>
  <c r="D52" i="6"/>
  <c r="D51" i="6"/>
  <c r="D50" i="6"/>
  <c r="D49" i="6"/>
  <c r="D48" i="6"/>
  <c r="G48" i="6"/>
  <c r="D47" i="6"/>
  <c r="G47" i="6"/>
  <c r="D46" i="6"/>
  <c r="D45" i="6"/>
  <c r="D44" i="6"/>
  <c r="E44" i="6"/>
  <c r="D43" i="6"/>
  <c r="F43" i="6"/>
  <c r="D42" i="6"/>
  <c r="D41" i="6"/>
  <c r="D40" i="6"/>
  <c r="G40" i="6"/>
  <c r="D39" i="6"/>
  <c r="F39" i="6"/>
  <c r="D38" i="6"/>
  <c r="D37" i="6"/>
  <c r="D36" i="6"/>
  <c r="D35" i="6"/>
  <c r="G35" i="6"/>
  <c r="D34" i="6"/>
  <c r="D33" i="6"/>
  <c r="D32" i="6"/>
  <c r="D31" i="6"/>
  <c r="G31" i="6"/>
  <c r="D30" i="6"/>
  <c r="D29" i="6"/>
  <c r="D28" i="6"/>
  <c r="D26" i="6"/>
  <c r="G26" i="6"/>
  <c r="D25" i="6"/>
  <c r="D24" i="6"/>
  <c r="D23" i="6"/>
  <c r="D22" i="6"/>
  <c r="D21" i="6"/>
  <c r="D20" i="6"/>
  <c r="D19" i="6"/>
  <c r="D18" i="6"/>
  <c r="D17" i="6"/>
  <c r="D16" i="6"/>
  <c r="D15" i="6"/>
  <c r="D14" i="6"/>
  <c r="G14" i="6"/>
  <c r="D13" i="6"/>
  <c r="D12" i="6"/>
  <c r="D11" i="6"/>
  <c r="D10" i="6"/>
  <c r="G10" i="6"/>
  <c r="D9" i="6"/>
  <c r="D8" i="6"/>
  <c r="D7" i="6"/>
  <c r="E7" i="6"/>
  <c r="D6" i="6"/>
  <c r="G6" i="6"/>
  <c r="D5" i="6"/>
  <c r="D4" i="6"/>
  <c r="D3" i="6"/>
  <c r="G3" i="6"/>
  <c r="D2" i="6"/>
  <c r="G2" i="6"/>
  <c r="D159" i="5"/>
  <c r="G159" i="5"/>
  <c r="D158" i="5"/>
  <c r="E158" i="5"/>
  <c r="D157" i="5"/>
  <c r="G157" i="5"/>
  <c r="D156" i="5"/>
  <c r="E156" i="5"/>
  <c r="D155" i="5"/>
  <c r="G155" i="5"/>
  <c r="D154" i="5"/>
  <c r="G154" i="5"/>
  <c r="D153" i="5"/>
  <c r="E153" i="5"/>
  <c r="D152" i="5"/>
  <c r="G152" i="5"/>
  <c r="D151" i="5"/>
  <c r="G151" i="5"/>
  <c r="D150" i="5"/>
  <c r="E150" i="5"/>
  <c r="D149" i="5"/>
  <c r="G149" i="5"/>
  <c r="D148" i="5"/>
  <c r="E148" i="5"/>
  <c r="D147" i="5"/>
  <c r="D146" i="5"/>
  <c r="G146" i="5"/>
  <c r="D145" i="5"/>
  <c r="E145" i="5"/>
  <c r="D144" i="5"/>
  <c r="G144" i="5"/>
  <c r="D143" i="5"/>
  <c r="G143" i="5"/>
  <c r="D142" i="5"/>
  <c r="E142" i="5"/>
  <c r="D141" i="5"/>
  <c r="G141" i="5"/>
  <c r="D140" i="5"/>
  <c r="E140" i="5"/>
  <c r="D139" i="5"/>
  <c r="G139" i="5"/>
  <c r="D138" i="5"/>
  <c r="D137" i="5"/>
  <c r="E137" i="5"/>
  <c r="D136" i="5"/>
  <c r="G136" i="5"/>
  <c r="H136" i="5"/>
  <c r="D135" i="5"/>
  <c r="G135" i="5"/>
  <c r="D134" i="5"/>
  <c r="G134" i="5"/>
  <c r="D133" i="5"/>
  <c r="G133" i="5"/>
  <c r="D131" i="5"/>
  <c r="E131" i="5"/>
  <c r="D130" i="5"/>
  <c r="G130" i="5"/>
  <c r="D129" i="5"/>
  <c r="E129" i="5"/>
  <c r="D128" i="5"/>
  <c r="G128" i="5"/>
  <c r="D127" i="5"/>
  <c r="G127" i="5"/>
  <c r="D126" i="5"/>
  <c r="E126" i="5"/>
  <c r="D125" i="5"/>
  <c r="G125" i="5"/>
  <c r="D124" i="5"/>
  <c r="F124" i="5"/>
  <c r="D123" i="5"/>
  <c r="E123" i="5"/>
  <c r="D122" i="5"/>
  <c r="G122" i="5"/>
  <c r="D121" i="5"/>
  <c r="E121" i="5"/>
  <c r="D120" i="5"/>
  <c r="G120" i="5"/>
  <c r="D119" i="5"/>
  <c r="G119" i="5"/>
  <c r="D118" i="5"/>
  <c r="G118" i="5"/>
  <c r="D117" i="5"/>
  <c r="G117" i="5"/>
  <c r="D116" i="5"/>
  <c r="G116" i="5"/>
  <c r="D115" i="5"/>
  <c r="E115" i="5"/>
  <c r="D114" i="5"/>
  <c r="G114" i="5"/>
  <c r="D113" i="5"/>
  <c r="D112" i="5"/>
  <c r="D111" i="5"/>
  <c r="G111" i="5"/>
  <c r="D110" i="5"/>
  <c r="G110" i="5"/>
  <c r="D108" i="5"/>
  <c r="F108" i="5"/>
  <c r="D107" i="5"/>
  <c r="F107" i="5"/>
  <c r="D106" i="5"/>
  <c r="E106" i="5"/>
  <c r="D105" i="5"/>
  <c r="D104" i="5"/>
  <c r="E104" i="5"/>
  <c r="D103" i="5"/>
  <c r="F103" i="5"/>
  <c r="D102" i="5"/>
  <c r="E102" i="5"/>
  <c r="D101" i="5"/>
  <c r="E101" i="5"/>
  <c r="D100" i="5"/>
  <c r="E100" i="5"/>
  <c r="D99" i="5"/>
  <c r="F99" i="5"/>
  <c r="D98" i="5"/>
  <c r="F98" i="5"/>
  <c r="D97" i="5"/>
  <c r="E97" i="5"/>
  <c r="D96" i="5"/>
  <c r="D95" i="5"/>
  <c r="E95" i="5"/>
  <c r="D94" i="5"/>
  <c r="F94" i="5"/>
  <c r="D93" i="5"/>
  <c r="D92" i="5"/>
  <c r="F92" i="5"/>
  <c r="D91" i="5"/>
  <c r="E91" i="5"/>
  <c r="D90" i="5"/>
  <c r="F90" i="5"/>
  <c r="D89" i="5"/>
  <c r="F89" i="5"/>
  <c r="D88" i="5"/>
  <c r="D87" i="5"/>
  <c r="E87" i="5"/>
  <c r="H87" i="5"/>
  <c r="D86" i="5"/>
  <c r="E86" i="5"/>
  <c r="H86" i="5"/>
  <c r="D85" i="5"/>
  <c r="E85" i="5"/>
  <c r="D84" i="5"/>
  <c r="F84" i="5"/>
  <c r="D83" i="5"/>
  <c r="E83" i="5"/>
  <c r="D82" i="5"/>
  <c r="F82" i="5"/>
  <c r="D81" i="5"/>
  <c r="E81" i="5"/>
  <c r="D80" i="5"/>
  <c r="D79" i="5"/>
  <c r="E79" i="5"/>
  <c r="D78" i="5"/>
  <c r="F78" i="5"/>
  <c r="D77" i="5"/>
  <c r="F77" i="5"/>
  <c r="D76" i="5"/>
  <c r="F76" i="5"/>
  <c r="D75" i="5"/>
  <c r="F75" i="5"/>
  <c r="D74" i="5"/>
  <c r="F74" i="5"/>
  <c r="D73" i="5"/>
  <c r="F73" i="5"/>
  <c r="D71" i="5"/>
  <c r="F71" i="5"/>
  <c r="D70" i="5"/>
  <c r="G70" i="5"/>
  <c r="D69" i="5"/>
  <c r="G69" i="5"/>
  <c r="D68" i="5"/>
  <c r="G68" i="5"/>
  <c r="D67" i="5"/>
  <c r="F67" i="5"/>
  <c r="D66" i="5"/>
  <c r="F66" i="5"/>
  <c r="H66" i="5"/>
  <c r="D65" i="5"/>
  <c r="G65" i="5"/>
  <c r="D64" i="5"/>
  <c r="D63" i="5"/>
  <c r="D62" i="5"/>
  <c r="G62" i="5"/>
  <c r="D61" i="5"/>
  <c r="F61" i="5"/>
  <c r="D60" i="5"/>
  <c r="G60" i="5"/>
  <c r="D59" i="5"/>
  <c r="F59" i="5"/>
  <c r="D58" i="5"/>
  <c r="E58" i="5"/>
  <c r="D57" i="5"/>
  <c r="D56" i="5"/>
  <c r="G56" i="5"/>
  <c r="D55" i="5"/>
  <c r="D53" i="5"/>
  <c r="G53" i="5"/>
  <c r="D52" i="5"/>
  <c r="G52" i="5"/>
  <c r="D51" i="5"/>
  <c r="G51" i="5"/>
  <c r="D50" i="5"/>
  <c r="F50" i="5"/>
  <c r="D49" i="5"/>
  <c r="E49" i="5"/>
  <c r="D48" i="5"/>
  <c r="E48" i="5"/>
  <c r="D47" i="5"/>
  <c r="G47" i="5"/>
  <c r="D46" i="5"/>
  <c r="F46" i="5"/>
  <c r="D45" i="5"/>
  <c r="E45" i="5"/>
  <c r="H45" i="5"/>
  <c r="D44" i="5"/>
  <c r="E44" i="5"/>
  <c r="D43" i="5"/>
  <c r="F43" i="5"/>
  <c r="D42" i="5"/>
  <c r="D41" i="5"/>
  <c r="F41" i="5"/>
  <c r="D40" i="5"/>
  <c r="G40" i="5"/>
  <c r="D39" i="5"/>
  <c r="E39" i="5"/>
  <c r="D38" i="5"/>
  <c r="G38" i="5"/>
  <c r="D37" i="5"/>
  <c r="F37" i="5"/>
  <c r="D36" i="5"/>
  <c r="E36" i="5"/>
  <c r="D35" i="5"/>
  <c r="G35" i="5"/>
  <c r="D34" i="5"/>
  <c r="G34" i="5"/>
  <c r="D33" i="5"/>
  <c r="F33" i="5"/>
  <c r="D32" i="5"/>
  <c r="G32" i="5"/>
  <c r="D31" i="5"/>
  <c r="G31" i="5"/>
  <c r="D30" i="5"/>
  <c r="D29" i="5"/>
  <c r="F29" i="5"/>
  <c r="D28" i="5"/>
  <c r="E28" i="5"/>
  <c r="D26" i="5"/>
  <c r="G26" i="5"/>
  <c r="D25" i="5"/>
  <c r="G25" i="5"/>
  <c r="D24" i="5"/>
  <c r="F24" i="5"/>
  <c r="D23" i="5"/>
  <c r="G23" i="5"/>
  <c r="D22" i="5"/>
  <c r="G22" i="5"/>
  <c r="D21" i="5"/>
  <c r="G21" i="5"/>
  <c r="D20" i="5"/>
  <c r="G20" i="5"/>
  <c r="D19" i="5"/>
  <c r="G19" i="5"/>
  <c r="D18" i="5"/>
  <c r="G18" i="5"/>
  <c r="D17" i="5"/>
  <c r="G17" i="5"/>
  <c r="D16" i="5"/>
  <c r="G16" i="5"/>
  <c r="D15" i="5"/>
  <c r="F15" i="5"/>
  <c r="D14" i="5"/>
  <c r="E14" i="5"/>
  <c r="D13" i="5"/>
  <c r="D12" i="5"/>
  <c r="G12" i="5"/>
  <c r="D11" i="5"/>
  <c r="G11" i="5"/>
  <c r="D10" i="5"/>
  <c r="F10" i="5"/>
  <c r="D9" i="5"/>
  <c r="G9" i="5"/>
  <c r="H9" i="5"/>
  <c r="D8" i="5"/>
  <c r="G8" i="5"/>
  <c r="D7" i="5"/>
  <c r="G7" i="5"/>
  <c r="D6" i="5"/>
  <c r="D5" i="5"/>
  <c r="G5" i="5"/>
  <c r="D4" i="5"/>
  <c r="G4" i="5"/>
  <c r="D3" i="5"/>
  <c r="G3" i="5"/>
  <c r="D2" i="5"/>
  <c r="E2" i="5"/>
  <c r="G48" i="1"/>
  <c r="D159" i="4"/>
  <c r="D158" i="4"/>
  <c r="G158" i="4" s="1"/>
  <c r="D157" i="4"/>
  <c r="E157" i="4" s="1"/>
  <c r="D156" i="4"/>
  <c r="D155" i="4"/>
  <c r="E155" i="4" s="1"/>
  <c r="D154" i="4"/>
  <c r="G154" i="4" s="1"/>
  <c r="D153" i="4"/>
  <c r="F153" i="4" s="1"/>
  <c r="D152" i="4"/>
  <c r="G152" i="4" s="1"/>
  <c r="D151" i="4"/>
  <c r="F151" i="4" s="1"/>
  <c r="D150" i="4"/>
  <c r="G150" i="4" s="1"/>
  <c r="D149" i="4"/>
  <c r="D148" i="4"/>
  <c r="G148" i="4" s="1"/>
  <c r="D147" i="4"/>
  <c r="F147" i="4" s="1"/>
  <c r="D146" i="4"/>
  <c r="F146" i="4" s="1"/>
  <c r="D145" i="4"/>
  <c r="G145" i="4" s="1"/>
  <c r="D144" i="4"/>
  <c r="G144" i="4" s="1"/>
  <c r="D143" i="4"/>
  <c r="D142" i="4"/>
  <c r="G142" i="4" s="1"/>
  <c r="D141" i="4"/>
  <c r="E141" i="4" s="1"/>
  <c r="D140" i="4"/>
  <c r="D139" i="4"/>
  <c r="D138" i="4"/>
  <c r="G138" i="4" s="1"/>
  <c r="D137" i="4"/>
  <c r="G137" i="4" s="1"/>
  <c r="D136" i="4"/>
  <c r="G136" i="4" s="1"/>
  <c r="H136" i="4" s="1"/>
  <c r="D135" i="4"/>
  <c r="E135" i="4" s="1"/>
  <c r="D134" i="4"/>
  <c r="G134" i="4" s="1"/>
  <c r="D133" i="4"/>
  <c r="D131" i="4"/>
  <c r="F131" i="4" s="1"/>
  <c r="D130" i="4"/>
  <c r="E130" i="4" s="1"/>
  <c r="D129" i="4"/>
  <c r="D128" i="4"/>
  <c r="G128" i="4"/>
  <c r="D127" i="4"/>
  <c r="F127" i="4" s="1"/>
  <c r="D126" i="4"/>
  <c r="E126" i="4" s="1"/>
  <c r="D125" i="4"/>
  <c r="G125" i="4" s="1"/>
  <c r="D124" i="4"/>
  <c r="E124" i="4" s="1"/>
  <c r="D123" i="4"/>
  <c r="G123" i="4" s="1"/>
  <c r="D122" i="4"/>
  <c r="G122" i="4" s="1"/>
  <c r="D121" i="4"/>
  <c r="F121" i="4" s="1"/>
  <c r="D120" i="4"/>
  <c r="D119" i="4"/>
  <c r="G119" i="4" s="1"/>
  <c r="D118" i="4"/>
  <c r="G118" i="4" s="1"/>
  <c r="D117" i="4"/>
  <c r="E117" i="4" s="1"/>
  <c r="D116" i="4"/>
  <c r="G116" i="4" s="1"/>
  <c r="D115" i="4"/>
  <c r="G115" i="4" s="1"/>
  <c r="D114" i="4"/>
  <c r="E114" i="4" s="1"/>
  <c r="D113" i="4"/>
  <c r="F113" i="4" s="1"/>
  <c r="D112" i="4"/>
  <c r="E112" i="4" s="1"/>
  <c r="D111" i="4"/>
  <c r="G111" i="4" s="1"/>
  <c r="D110" i="4"/>
  <c r="F110" i="4" s="1"/>
  <c r="D108" i="4"/>
  <c r="E108" i="4" s="1"/>
  <c r="D107" i="4"/>
  <c r="E107" i="4" s="1"/>
  <c r="D106" i="4"/>
  <c r="F106" i="4" s="1"/>
  <c r="D105" i="4"/>
  <c r="E105" i="4" s="1"/>
  <c r="D104" i="4"/>
  <c r="D103" i="4"/>
  <c r="E103" i="4" s="1"/>
  <c r="D102" i="4"/>
  <c r="E102" i="4" s="1"/>
  <c r="D101" i="4"/>
  <c r="E101" i="4" s="1"/>
  <c r="D100" i="4"/>
  <c r="F100" i="4" s="1"/>
  <c r="D99" i="4"/>
  <c r="G99" i="4" s="1"/>
  <c r="D98" i="4"/>
  <c r="F98" i="4" s="1"/>
  <c r="D97" i="4"/>
  <c r="F97" i="4" s="1"/>
  <c r="D96" i="4"/>
  <c r="F96" i="4" s="1"/>
  <c r="D95" i="4"/>
  <c r="E95" i="4" s="1"/>
  <c r="D94" i="4"/>
  <c r="F94" i="4" s="1"/>
  <c r="D93" i="4"/>
  <c r="F93" i="4" s="1"/>
  <c r="D92" i="4"/>
  <c r="E92" i="4" s="1"/>
  <c r="D91" i="4"/>
  <c r="F91" i="4" s="1"/>
  <c r="D90" i="4"/>
  <c r="D89" i="4"/>
  <c r="E89" i="4" s="1"/>
  <c r="D88" i="4"/>
  <c r="E88" i="4" s="1"/>
  <c r="H88" i="4" s="1"/>
  <c r="D87" i="4"/>
  <c r="E87" i="4" s="1"/>
  <c r="H87" i="4" s="1"/>
  <c r="D86" i="4"/>
  <c r="E86" i="4" s="1"/>
  <c r="H86" i="4" s="1"/>
  <c r="D85" i="4"/>
  <c r="E85" i="4" s="1"/>
  <c r="F85" i="4"/>
  <c r="H85" i="4" s="1"/>
  <c r="D84" i="4"/>
  <c r="E84" i="4" s="1"/>
  <c r="D83" i="4"/>
  <c r="F83" i="4" s="1"/>
  <c r="D82" i="4"/>
  <c r="E82" i="4" s="1"/>
  <c r="D81" i="4"/>
  <c r="E81" i="4" s="1"/>
  <c r="D80" i="4"/>
  <c r="E80" i="4" s="1"/>
  <c r="D79" i="4"/>
  <c r="E79" i="4" s="1"/>
  <c r="D78" i="4"/>
  <c r="F78" i="4" s="1"/>
  <c r="D77" i="4"/>
  <c r="D76" i="4"/>
  <c r="F76" i="4" s="1"/>
  <c r="D75" i="4"/>
  <c r="F75" i="4" s="1"/>
  <c r="D74" i="4"/>
  <c r="E74" i="4" s="1"/>
  <c r="D73" i="4"/>
  <c r="E73" i="4" s="1"/>
  <c r="D71" i="4"/>
  <c r="E71" i="4" s="1"/>
  <c r="D70" i="4"/>
  <c r="G70" i="4" s="1"/>
  <c r="D69" i="4"/>
  <c r="E69" i="4" s="1"/>
  <c r="D68" i="4"/>
  <c r="F68" i="4" s="1"/>
  <c r="D67" i="4"/>
  <c r="F67" i="4" s="1"/>
  <c r="H67" i="4" s="1"/>
  <c r="D66" i="4"/>
  <c r="F66" i="4" s="1"/>
  <c r="H66" i="4" s="1"/>
  <c r="D65" i="4"/>
  <c r="F65" i="4" s="1"/>
  <c r="D64" i="4"/>
  <c r="E64" i="4" s="1"/>
  <c r="D63" i="4"/>
  <c r="F63" i="4" s="1"/>
  <c r="D62" i="4"/>
  <c r="D61" i="4"/>
  <c r="D60" i="4"/>
  <c r="G60" i="4" s="1"/>
  <c r="D59" i="4"/>
  <c r="F59" i="4"/>
  <c r="D58" i="4"/>
  <c r="D57" i="4"/>
  <c r="F57" i="4" s="1"/>
  <c r="D56" i="4"/>
  <c r="E56" i="4" s="1"/>
  <c r="D55" i="4"/>
  <c r="G55" i="4" s="1"/>
  <c r="D53" i="4"/>
  <c r="G53" i="4" s="1"/>
  <c r="D52" i="4"/>
  <c r="E52" i="4" s="1"/>
  <c r="D51" i="4"/>
  <c r="G51" i="4"/>
  <c r="D50" i="4"/>
  <c r="G50" i="4" s="1"/>
  <c r="F50" i="4"/>
  <c r="D49" i="4"/>
  <c r="E49" i="4" s="1"/>
  <c r="G49" i="4"/>
  <c r="D48" i="4"/>
  <c r="D47" i="4"/>
  <c r="F47" i="4" s="1"/>
  <c r="D46" i="4"/>
  <c r="G46" i="4"/>
  <c r="D45" i="4"/>
  <c r="E45" i="4" s="1"/>
  <c r="H45" i="4"/>
  <c r="D44" i="4"/>
  <c r="E44" i="4" s="1"/>
  <c r="D43" i="4"/>
  <c r="F43" i="4" s="1"/>
  <c r="D42" i="4"/>
  <c r="E42" i="4" s="1"/>
  <c r="F42" i="4"/>
  <c r="D41" i="4"/>
  <c r="G41" i="4" s="1"/>
  <c r="D40" i="4"/>
  <c r="E40" i="4" s="1"/>
  <c r="D39" i="4"/>
  <c r="G39" i="4" s="1"/>
  <c r="E39" i="4"/>
  <c r="D38" i="4"/>
  <c r="E38" i="4" s="1"/>
  <c r="G38" i="4"/>
  <c r="D37" i="4"/>
  <c r="G37" i="4" s="1"/>
  <c r="F37" i="4"/>
  <c r="D36" i="4"/>
  <c r="E36" i="4" s="1"/>
  <c r="D35" i="4"/>
  <c r="G35" i="4" s="1"/>
  <c r="D34" i="4"/>
  <c r="D33" i="4"/>
  <c r="F33" i="4" s="1"/>
  <c r="D32" i="4"/>
  <c r="E32" i="4" s="1"/>
  <c r="D31" i="4"/>
  <c r="D30" i="4"/>
  <c r="F30" i="4" s="1"/>
  <c r="D29" i="4"/>
  <c r="E29" i="4" s="1"/>
  <c r="D28" i="4"/>
  <c r="D26" i="4"/>
  <c r="F26" i="4" s="1"/>
  <c r="D25" i="4"/>
  <c r="F25" i="4" s="1"/>
  <c r="D24" i="4"/>
  <c r="G24" i="4" s="1"/>
  <c r="D23" i="4"/>
  <c r="G23" i="4" s="1"/>
  <c r="D22" i="4"/>
  <c r="D21" i="4"/>
  <c r="G21" i="4" s="1"/>
  <c r="D20" i="4"/>
  <c r="F20" i="4" s="1"/>
  <c r="D19" i="4"/>
  <c r="F19" i="4" s="1"/>
  <c r="D18" i="4"/>
  <c r="E18" i="4" s="1"/>
  <c r="D17" i="4"/>
  <c r="D16" i="4"/>
  <c r="E16" i="4" s="1"/>
  <c r="D15" i="4"/>
  <c r="E15" i="4" s="1"/>
  <c r="D14" i="4"/>
  <c r="E14" i="4" s="1"/>
  <c r="D13" i="4"/>
  <c r="E13" i="4" s="1"/>
  <c r="D12" i="4"/>
  <c r="D11" i="4"/>
  <c r="D10" i="4"/>
  <c r="G10" i="4" s="1"/>
  <c r="D9" i="4"/>
  <c r="G9" i="4" s="1"/>
  <c r="H9" i="4" s="1"/>
  <c r="D8" i="4"/>
  <c r="G8" i="4" s="1"/>
  <c r="D7" i="4"/>
  <c r="F7" i="4" s="1"/>
  <c r="D6" i="4"/>
  <c r="E6" i="4" s="1"/>
  <c r="D5" i="4"/>
  <c r="G5" i="4" s="1"/>
  <c r="D4" i="4"/>
  <c r="F4" i="4" s="1"/>
  <c r="D3" i="4"/>
  <c r="G3" i="4" s="1"/>
  <c r="D2" i="4"/>
  <c r="G2" i="4" s="1"/>
  <c r="D159" i="3"/>
  <c r="E159" i="3" s="1"/>
  <c r="D158" i="3"/>
  <c r="G158" i="3" s="1"/>
  <c r="D157" i="3"/>
  <c r="E157" i="3" s="1"/>
  <c r="D156" i="3"/>
  <c r="F156" i="3" s="1"/>
  <c r="D155" i="3"/>
  <c r="G155" i="3" s="1"/>
  <c r="D154" i="3"/>
  <c r="F154" i="3" s="1"/>
  <c r="D153" i="3"/>
  <c r="F153" i="3" s="1"/>
  <c r="D152" i="3"/>
  <c r="E152" i="3" s="1"/>
  <c r="D151" i="3"/>
  <c r="G151" i="3" s="1"/>
  <c r="D150" i="3"/>
  <c r="E150" i="3" s="1"/>
  <c r="D149" i="3"/>
  <c r="G149" i="3" s="1"/>
  <c r="D148" i="3"/>
  <c r="G148" i="3" s="1"/>
  <c r="D147" i="3"/>
  <c r="E147" i="3" s="1"/>
  <c r="D146" i="3"/>
  <c r="F146" i="3" s="1"/>
  <c r="D145" i="3"/>
  <c r="E145" i="3" s="1"/>
  <c r="D144" i="3"/>
  <c r="E144" i="3" s="1"/>
  <c r="D143" i="3"/>
  <c r="E143" i="3" s="1"/>
  <c r="D142" i="3"/>
  <c r="D141" i="3"/>
  <c r="F141" i="3" s="1"/>
  <c r="D140" i="3"/>
  <c r="F140" i="3" s="1"/>
  <c r="D139" i="3"/>
  <c r="G139" i="3" s="1"/>
  <c r="D138" i="3"/>
  <c r="D137" i="3"/>
  <c r="E137" i="3" s="1"/>
  <c r="D136" i="3"/>
  <c r="D135" i="3"/>
  <c r="E135" i="3" s="1"/>
  <c r="D134" i="3"/>
  <c r="E134" i="3" s="1"/>
  <c r="D133" i="3"/>
  <c r="G133" i="3" s="1"/>
  <c r="D131" i="3"/>
  <c r="F131" i="3" s="1"/>
  <c r="D130" i="3"/>
  <c r="G130" i="3" s="1"/>
  <c r="D129" i="3"/>
  <c r="G129" i="3" s="1"/>
  <c r="D128" i="3"/>
  <c r="E128" i="3" s="1"/>
  <c r="D127" i="3"/>
  <c r="E127" i="3" s="1"/>
  <c r="D126" i="3"/>
  <c r="G126" i="3" s="1"/>
  <c r="D125" i="3"/>
  <c r="E125" i="3" s="1"/>
  <c r="D124" i="3"/>
  <c r="E124" i="3" s="1"/>
  <c r="D123" i="3"/>
  <c r="G123" i="3" s="1"/>
  <c r="D122" i="3"/>
  <c r="F122" i="3" s="1"/>
  <c r="D121" i="3"/>
  <c r="F121" i="3" s="1"/>
  <c r="D120" i="3"/>
  <c r="E120" i="3" s="1"/>
  <c r="D119" i="3"/>
  <c r="G119" i="3" s="1"/>
  <c r="D118" i="3"/>
  <c r="G118" i="3" s="1"/>
  <c r="D117" i="3"/>
  <c r="D116" i="3"/>
  <c r="E116" i="3" s="1"/>
  <c r="D115" i="3"/>
  <c r="F115" i="3" s="1"/>
  <c r="D114" i="3"/>
  <c r="G114" i="3" s="1"/>
  <c r="D113" i="3"/>
  <c r="E113" i="3" s="1"/>
  <c r="D112" i="3"/>
  <c r="G112" i="3" s="1"/>
  <c r="D111" i="3"/>
  <c r="F111" i="3" s="1"/>
  <c r="D110" i="3"/>
  <c r="E110" i="3" s="1"/>
  <c r="D108" i="3"/>
  <c r="F108" i="3" s="1"/>
  <c r="D107" i="3"/>
  <c r="E107" i="3" s="1"/>
  <c r="D106" i="3"/>
  <c r="F106" i="3" s="1"/>
  <c r="D105" i="3"/>
  <c r="F105" i="3" s="1"/>
  <c r="D104" i="3"/>
  <c r="F104" i="3" s="1"/>
  <c r="D103" i="3"/>
  <c r="E103" i="3" s="1"/>
  <c r="D102" i="3"/>
  <c r="E102" i="3" s="1"/>
  <c r="D101" i="3"/>
  <c r="E101" i="3" s="1"/>
  <c r="D100" i="3"/>
  <c r="F100" i="3" s="1"/>
  <c r="D99" i="3"/>
  <c r="E99" i="3" s="1"/>
  <c r="D98" i="3"/>
  <c r="F98" i="3" s="1"/>
  <c r="D97" i="3"/>
  <c r="F97" i="3" s="1"/>
  <c r="D96" i="3"/>
  <c r="E96" i="3" s="1"/>
  <c r="D95" i="3"/>
  <c r="F95" i="3" s="1"/>
  <c r="D94" i="3"/>
  <c r="E94" i="3" s="1"/>
  <c r="D93" i="3"/>
  <c r="F93" i="3" s="1"/>
  <c r="D92" i="3"/>
  <c r="E92" i="3" s="1"/>
  <c r="D91" i="3"/>
  <c r="F91" i="3" s="1"/>
  <c r="D90" i="3"/>
  <c r="E90" i="3" s="1"/>
  <c r="D89" i="3"/>
  <c r="E89" i="3" s="1"/>
  <c r="D88" i="3"/>
  <c r="E88" i="3" s="1"/>
  <c r="H88" i="3" s="1"/>
  <c r="D87" i="3"/>
  <c r="E87" i="3" s="1"/>
  <c r="H87" i="3" s="1"/>
  <c r="D86" i="3"/>
  <c r="E86" i="3" s="1"/>
  <c r="H86" i="3" s="1"/>
  <c r="D85" i="3"/>
  <c r="D84" i="3"/>
  <c r="F84" i="3" s="1"/>
  <c r="D83" i="3"/>
  <c r="F83" i="3" s="1"/>
  <c r="D82" i="3"/>
  <c r="E82" i="3" s="1"/>
  <c r="D81" i="3"/>
  <c r="F81" i="3" s="1"/>
  <c r="D80" i="3"/>
  <c r="E80" i="3" s="1"/>
  <c r="D79" i="3"/>
  <c r="F79" i="3" s="1"/>
  <c r="D78" i="3"/>
  <c r="E78" i="3" s="1"/>
  <c r="D77" i="3"/>
  <c r="D76" i="3"/>
  <c r="E76" i="3" s="1"/>
  <c r="D75" i="3"/>
  <c r="F75" i="3" s="1"/>
  <c r="D74" i="3"/>
  <c r="E74" i="3" s="1"/>
  <c r="D73" i="3"/>
  <c r="E73" i="3" s="1"/>
  <c r="D71" i="3"/>
  <c r="D70" i="3"/>
  <c r="G70" i="3" s="1"/>
  <c r="D69" i="3"/>
  <c r="E69" i="3" s="1"/>
  <c r="D68" i="3"/>
  <c r="G68" i="3" s="1"/>
  <c r="D67" i="3"/>
  <c r="F67" i="3" s="1"/>
  <c r="H67" i="3" s="1"/>
  <c r="D66" i="3"/>
  <c r="F66" i="3" s="1"/>
  <c r="H66" i="3" s="1"/>
  <c r="D65" i="3"/>
  <c r="G65" i="3" s="1"/>
  <c r="D64" i="3"/>
  <c r="F64" i="3" s="1"/>
  <c r="D63" i="3"/>
  <c r="E63" i="3" s="1"/>
  <c r="D62" i="3"/>
  <c r="F62" i="3" s="1"/>
  <c r="D61" i="3"/>
  <c r="G61" i="3" s="1"/>
  <c r="D60" i="3"/>
  <c r="G60" i="3" s="1"/>
  <c r="D59" i="3"/>
  <c r="E59" i="3" s="1"/>
  <c r="D58" i="3"/>
  <c r="G58" i="3" s="1"/>
  <c r="D57" i="3"/>
  <c r="E57" i="3" s="1"/>
  <c r="D56" i="3"/>
  <c r="F56" i="3" s="1"/>
  <c r="D55" i="3"/>
  <c r="E55" i="3" s="1"/>
  <c r="D53" i="3"/>
  <c r="G53" i="3" s="1"/>
  <c r="D52" i="3"/>
  <c r="E52" i="3" s="1"/>
  <c r="D51" i="3"/>
  <c r="E51" i="3" s="1"/>
  <c r="D50" i="3"/>
  <c r="G50" i="3" s="1"/>
  <c r="D49" i="3"/>
  <c r="E49" i="3" s="1"/>
  <c r="D48" i="3"/>
  <c r="F48" i="3" s="1"/>
  <c r="D47" i="3"/>
  <c r="E47" i="3" s="1"/>
  <c r="D46" i="3"/>
  <c r="G46" i="3" s="1"/>
  <c r="D45" i="3"/>
  <c r="E45" i="3" s="1"/>
  <c r="H45" i="3" s="1"/>
  <c r="D44" i="3"/>
  <c r="G44" i="3" s="1"/>
  <c r="D43" i="3"/>
  <c r="F43" i="3" s="1"/>
  <c r="D42" i="3"/>
  <c r="G42" i="3" s="1"/>
  <c r="D41" i="3"/>
  <c r="F41" i="3" s="1"/>
  <c r="D40" i="3"/>
  <c r="G40" i="3" s="1"/>
  <c r="D39" i="3"/>
  <c r="E39" i="3" s="1"/>
  <c r="D38" i="3"/>
  <c r="F38" i="3" s="1"/>
  <c r="D37" i="3"/>
  <c r="E37" i="3" s="1"/>
  <c r="D36" i="3"/>
  <c r="E36" i="3" s="1"/>
  <c r="D35" i="3"/>
  <c r="G35" i="3" s="1"/>
  <c r="D34" i="3"/>
  <c r="G34" i="3" s="1"/>
  <c r="D33" i="3"/>
  <c r="F33" i="3" s="1"/>
  <c r="D32" i="3"/>
  <c r="F32" i="3" s="1"/>
  <c r="D31" i="3"/>
  <c r="E31" i="3" s="1"/>
  <c r="D30" i="3"/>
  <c r="E30" i="3" s="1"/>
  <c r="D29" i="3"/>
  <c r="E29" i="3" s="1"/>
  <c r="D28" i="3"/>
  <c r="G28" i="3" s="1"/>
  <c r="D26" i="3"/>
  <c r="E26" i="3" s="1"/>
  <c r="D25" i="3"/>
  <c r="G25" i="3" s="1"/>
  <c r="D24" i="3"/>
  <c r="G24" i="3" s="1"/>
  <c r="D23" i="3"/>
  <c r="F23" i="3" s="1"/>
  <c r="D22" i="3"/>
  <c r="F22" i="3" s="1"/>
  <c r="D21" i="3"/>
  <c r="E21" i="3" s="1"/>
  <c r="D20" i="3"/>
  <c r="F20" i="3" s="1"/>
  <c r="D19" i="3"/>
  <c r="F19" i="3" s="1"/>
  <c r="D18" i="3"/>
  <c r="F18" i="3" s="1"/>
  <c r="D17" i="3"/>
  <c r="G17" i="3" s="1"/>
  <c r="D16" i="3"/>
  <c r="G16" i="3" s="1"/>
  <c r="D15" i="3"/>
  <c r="G15" i="3" s="1"/>
  <c r="D14" i="3"/>
  <c r="D13" i="3"/>
  <c r="D12" i="3"/>
  <c r="F12" i="3" s="1"/>
  <c r="D11" i="3"/>
  <c r="E11" i="3" s="1"/>
  <c r="D10" i="3"/>
  <c r="G10" i="3" s="1"/>
  <c r="D9" i="3"/>
  <c r="G9" i="3" s="1"/>
  <c r="H9" i="3" s="1"/>
  <c r="D8" i="3"/>
  <c r="G8" i="3" s="1"/>
  <c r="D7" i="3"/>
  <c r="F7" i="3" s="1"/>
  <c r="D6" i="3"/>
  <c r="E6" i="3" s="1"/>
  <c r="D5" i="3"/>
  <c r="E5" i="3" s="1"/>
  <c r="D4" i="3"/>
  <c r="F4" i="3" s="1"/>
  <c r="D3" i="3"/>
  <c r="E3" i="3" s="1"/>
  <c r="D2" i="3"/>
  <c r="E2" i="3" s="1"/>
  <c r="J126" i="1"/>
  <c r="I126" i="1"/>
  <c r="H126" i="1"/>
  <c r="G126" i="1"/>
  <c r="E126" i="1"/>
  <c r="J125" i="1"/>
  <c r="I125" i="1"/>
  <c r="H125" i="1"/>
  <c r="G125" i="1"/>
  <c r="E125" i="1"/>
  <c r="J124" i="1"/>
  <c r="I124" i="1"/>
  <c r="H124" i="1"/>
  <c r="G124" i="1"/>
  <c r="E124" i="1"/>
  <c r="J123" i="1"/>
  <c r="I123" i="1"/>
  <c r="H123" i="1"/>
  <c r="G123" i="1"/>
  <c r="E123" i="1"/>
  <c r="J122" i="1"/>
  <c r="I122" i="1"/>
  <c r="H122" i="1"/>
  <c r="G122" i="1"/>
  <c r="E122" i="1"/>
  <c r="J121" i="1"/>
  <c r="I121" i="1"/>
  <c r="H121" i="1"/>
  <c r="G121" i="1"/>
  <c r="E121" i="1"/>
  <c r="J120" i="1"/>
  <c r="I120" i="1"/>
  <c r="H120" i="1"/>
  <c r="G120" i="1"/>
  <c r="E120" i="1"/>
  <c r="J119" i="1"/>
  <c r="I119" i="1"/>
  <c r="H119" i="1"/>
  <c r="G119" i="1"/>
  <c r="E119" i="1"/>
  <c r="J118" i="1"/>
  <c r="I118" i="1"/>
  <c r="H118" i="1"/>
  <c r="G118" i="1"/>
  <c r="E118" i="1"/>
  <c r="J117" i="1"/>
  <c r="I117" i="1"/>
  <c r="H117" i="1"/>
  <c r="G117" i="1"/>
  <c r="E117" i="1"/>
  <c r="J116" i="1"/>
  <c r="I116" i="1"/>
  <c r="H116" i="1"/>
  <c r="G116" i="1"/>
  <c r="E116" i="1"/>
  <c r="J109" i="1"/>
  <c r="I109" i="1"/>
  <c r="H109" i="1"/>
  <c r="G109" i="1"/>
  <c r="E109" i="1"/>
  <c r="J108" i="1"/>
  <c r="I108" i="1"/>
  <c r="H108" i="1"/>
  <c r="G108" i="1"/>
  <c r="E108" i="1"/>
  <c r="J107" i="1"/>
  <c r="I107" i="1"/>
  <c r="H107" i="1"/>
  <c r="G107" i="1"/>
  <c r="E107" i="1"/>
  <c r="J106" i="1"/>
  <c r="I106" i="1"/>
  <c r="H106" i="1"/>
  <c r="G106" i="1"/>
  <c r="E106" i="1"/>
  <c r="J105" i="1"/>
  <c r="I105" i="1"/>
  <c r="H105" i="1"/>
  <c r="G105" i="1"/>
  <c r="E105" i="1"/>
  <c r="J104" i="1"/>
  <c r="I104" i="1"/>
  <c r="H104" i="1"/>
  <c r="G104" i="1"/>
  <c r="E104" i="1"/>
  <c r="J103" i="1"/>
  <c r="I103" i="1"/>
  <c r="H103" i="1"/>
  <c r="G103" i="1"/>
  <c r="E103" i="1"/>
  <c r="J102" i="1"/>
  <c r="I102" i="1"/>
  <c r="H102" i="1"/>
  <c r="G102" i="1"/>
  <c r="E102" i="1"/>
  <c r="J101" i="1"/>
  <c r="I101" i="1"/>
  <c r="H101" i="1"/>
  <c r="G101" i="1"/>
  <c r="E101" i="1"/>
  <c r="J100" i="1"/>
  <c r="I100" i="1"/>
  <c r="H100" i="1"/>
  <c r="G100" i="1"/>
  <c r="E100" i="1"/>
  <c r="J99" i="1"/>
  <c r="I99" i="1"/>
  <c r="H99" i="1"/>
  <c r="G99" i="1"/>
  <c r="E99" i="1"/>
  <c r="J92" i="1"/>
  <c r="I92" i="1"/>
  <c r="H92" i="1"/>
  <c r="G92" i="1"/>
  <c r="E92" i="1"/>
  <c r="J91" i="1"/>
  <c r="I91" i="1"/>
  <c r="H91" i="1"/>
  <c r="G91" i="1"/>
  <c r="E91" i="1"/>
  <c r="J90" i="1"/>
  <c r="I90" i="1"/>
  <c r="H90" i="1"/>
  <c r="G90" i="1"/>
  <c r="E90" i="1"/>
  <c r="J89" i="1"/>
  <c r="I89" i="1"/>
  <c r="H89" i="1"/>
  <c r="G89" i="1"/>
  <c r="E89" i="1"/>
  <c r="J88" i="1"/>
  <c r="I88" i="1"/>
  <c r="H88" i="1"/>
  <c r="G88" i="1"/>
  <c r="E88" i="1"/>
  <c r="J87" i="1"/>
  <c r="I87" i="1"/>
  <c r="H87" i="1"/>
  <c r="G87" i="1"/>
  <c r="E87" i="1"/>
  <c r="J86" i="1"/>
  <c r="I86" i="1"/>
  <c r="H86" i="1"/>
  <c r="G86" i="1"/>
  <c r="E86" i="1"/>
  <c r="J85" i="1"/>
  <c r="I85" i="1"/>
  <c r="H85" i="1"/>
  <c r="G85" i="1"/>
  <c r="E85" i="1"/>
  <c r="J84" i="1"/>
  <c r="I84" i="1"/>
  <c r="H84" i="1"/>
  <c r="G84" i="1"/>
  <c r="E84" i="1"/>
  <c r="J83" i="1"/>
  <c r="I83" i="1"/>
  <c r="H83" i="1"/>
  <c r="G83" i="1"/>
  <c r="E83" i="1"/>
  <c r="J82" i="1"/>
  <c r="I82" i="1"/>
  <c r="H82" i="1"/>
  <c r="G82" i="1"/>
  <c r="E82" i="1"/>
  <c r="J75" i="1"/>
  <c r="I75" i="1"/>
  <c r="H75" i="1"/>
  <c r="G75" i="1"/>
  <c r="E75" i="1"/>
  <c r="J74" i="1"/>
  <c r="I74" i="1"/>
  <c r="H74" i="1"/>
  <c r="G74" i="1"/>
  <c r="E74" i="1"/>
  <c r="J73" i="1"/>
  <c r="I73" i="1"/>
  <c r="H73" i="1"/>
  <c r="G73" i="1"/>
  <c r="E73" i="1"/>
  <c r="J72" i="1"/>
  <c r="I72" i="1"/>
  <c r="H72" i="1"/>
  <c r="G72" i="1"/>
  <c r="E72" i="1"/>
  <c r="J71" i="1"/>
  <c r="I71" i="1"/>
  <c r="H71" i="1"/>
  <c r="G71" i="1"/>
  <c r="E71" i="1"/>
  <c r="J70" i="1"/>
  <c r="I70" i="1"/>
  <c r="H70" i="1"/>
  <c r="G70" i="1"/>
  <c r="E70" i="1"/>
  <c r="J69" i="1"/>
  <c r="I69" i="1"/>
  <c r="H69" i="1"/>
  <c r="G69" i="1"/>
  <c r="E69" i="1"/>
  <c r="J68" i="1"/>
  <c r="I68" i="1"/>
  <c r="H68" i="1"/>
  <c r="G68" i="1"/>
  <c r="E68" i="1"/>
  <c r="J67" i="1"/>
  <c r="I67" i="1"/>
  <c r="H67" i="1"/>
  <c r="G67" i="1"/>
  <c r="E67" i="1"/>
  <c r="J66" i="1"/>
  <c r="I66" i="1"/>
  <c r="H66" i="1"/>
  <c r="G66" i="1"/>
  <c r="E66" i="1"/>
  <c r="J65" i="1"/>
  <c r="I65" i="1"/>
  <c r="H65" i="1"/>
  <c r="G65" i="1"/>
  <c r="E65" i="1"/>
  <c r="J58" i="1"/>
  <c r="I58" i="1"/>
  <c r="H58" i="1"/>
  <c r="G58" i="1"/>
  <c r="E58" i="1"/>
  <c r="J57" i="1"/>
  <c r="I57" i="1"/>
  <c r="H57" i="1"/>
  <c r="G57" i="1"/>
  <c r="E57" i="1"/>
  <c r="J56" i="1"/>
  <c r="I56" i="1"/>
  <c r="H56" i="1"/>
  <c r="G56" i="1"/>
  <c r="E56" i="1"/>
  <c r="J55" i="1"/>
  <c r="I55" i="1"/>
  <c r="H55" i="1"/>
  <c r="G55" i="1"/>
  <c r="E55" i="1"/>
  <c r="J54" i="1"/>
  <c r="I54" i="1"/>
  <c r="H54" i="1"/>
  <c r="G54" i="1"/>
  <c r="E54" i="1"/>
  <c r="J53" i="1"/>
  <c r="I53" i="1"/>
  <c r="H53" i="1"/>
  <c r="G53" i="1"/>
  <c r="E53" i="1"/>
  <c r="J52" i="1"/>
  <c r="I52" i="1"/>
  <c r="H52" i="1"/>
  <c r="G52" i="1"/>
  <c r="E52" i="1"/>
  <c r="J51" i="1"/>
  <c r="I51" i="1"/>
  <c r="H51" i="1"/>
  <c r="G51" i="1"/>
  <c r="E51" i="1"/>
  <c r="J50" i="1"/>
  <c r="I50" i="1"/>
  <c r="H50" i="1"/>
  <c r="G50" i="1"/>
  <c r="E50" i="1"/>
  <c r="J49" i="1"/>
  <c r="I49" i="1"/>
  <c r="H49" i="1"/>
  <c r="G49" i="1"/>
  <c r="E49" i="1"/>
  <c r="E48" i="1"/>
  <c r="J41" i="1"/>
  <c r="I41" i="1"/>
  <c r="H41" i="1"/>
  <c r="G41" i="1"/>
  <c r="E41" i="1"/>
  <c r="J40" i="1"/>
  <c r="I40" i="1"/>
  <c r="H40" i="1"/>
  <c r="G40" i="1"/>
  <c r="E40" i="1"/>
  <c r="J39" i="1"/>
  <c r="I39" i="1"/>
  <c r="H39" i="1"/>
  <c r="G39" i="1"/>
  <c r="E39" i="1"/>
  <c r="J38" i="1"/>
  <c r="I38" i="1"/>
  <c r="H38" i="1"/>
  <c r="G38" i="1"/>
  <c r="E38" i="1"/>
  <c r="J37" i="1"/>
  <c r="I37" i="1"/>
  <c r="H37" i="1"/>
  <c r="G37" i="1"/>
  <c r="E37" i="1"/>
  <c r="J36" i="1"/>
  <c r="I36" i="1"/>
  <c r="H36" i="1"/>
  <c r="G36" i="1"/>
  <c r="E36" i="1"/>
  <c r="J35" i="1"/>
  <c r="I35" i="1"/>
  <c r="H35" i="1"/>
  <c r="G35" i="1"/>
  <c r="E35" i="1"/>
  <c r="J34" i="1"/>
  <c r="I34" i="1"/>
  <c r="H34" i="1"/>
  <c r="G34" i="1"/>
  <c r="E34" i="1"/>
  <c r="J33" i="1"/>
  <c r="I33" i="1"/>
  <c r="H33" i="1"/>
  <c r="G33" i="1"/>
  <c r="E33" i="1"/>
  <c r="J32" i="1"/>
  <c r="I32" i="1"/>
  <c r="H32" i="1"/>
  <c r="G32" i="1"/>
  <c r="E32" i="1"/>
  <c r="E31" i="1"/>
  <c r="G159" i="9"/>
  <c r="E158" i="9"/>
  <c r="G157" i="9"/>
  <c r="G155" i="9"/>
  <c r="G154" i="9"/>
  <c r="G153" i="9"/>
  <c r="G151" i="9"/>
  <c r="E150" i="9"/>
  <c r="G149" i="9"/>
  <c r="G148" i="9"/>
  <c r="G147" i="9"/>
  <c r="G146" i="9"/>
  <c r="G145" i="9"/>
  <c r="G143" i="9"/>
  <c r="E142" i="9"/>
  <c r="G139" i="9"/>
  <c r="G138" i="9"/>
  <c r="F135" i="9"/>
  <c r="E134" i="9"/>
  <c r="G133" i="9"/>
  <c r="G130" i="9"/>
  <c r="G129" i="9"/>
  <c r="F126" i="9"/>
  <c r="E125" i="9"/>
  <c r="G124" i="9"/>
  <c r="F124" i="9"/>
  <c r="G122" i="9"/>
  <c r="G121" i="9"/>
  <c r="G120" i="9"/>
  <c r="F119" i="9"/>
  <c r="F118" i="9"/>
  <c r="E118" i="9"/>
  <c r="E117" i="9"/>
  <c r="F116" i="9"/>
  <c r="G116" i="9"/>
  <c r="E115" i="9"/>
  <c r="G114" i="9"/>
  <c r="G113" i="9"/>
  <c r="F110" i="9"/>
  <c r="G108" i="9"/>
  <c r="E108" i="9"/>
  <c r="G107" i="9"/>
  <c r="F107" i="9"/>
  <c r="G106" i="9"/>
  <c r="F105" i="9"/>
  <c r="E104" i="9"/>
  <c r="G101" i="9"/>
  <c r="F101" i="9"/>
  <c r="G100" i="9"/>
  <c r="E100" i="9"/>
  <c r="G99" i="9"/>
  <c r="G97" i="9"/>
  <c r="E97" i="9"/>
  <c r="G96" i="9"/>
  <c r="F96" i="9"/>
  <c r="G95" i="9"/>
  <c r="E93" i="9"/>
  <c r="E92" i="9"/>
  <c r="F91" i="9"/>
  <c r="G90" i="9"/>
  <c r="G89" i="9"/>
  <c r="G88" i="9"/>
  <c r="F88" i="9"/>
  <c r="E88" i="9"/>
  <c r="G87" i="9"/>
  <c r="F87" i="9"/>
  <c r="G86" i="9"/>
  <c r="F86" i="9"/>
  <c r="G85" i="9"/>
  <c r="E85" i="9"/>
  <c r="G84" i="9"/>
  <c r="F84" i="9"/>
  <c r="G83" i="9"/>
  <c r="F81" i="9"/>
  <c r="E80" i="9"/>
  <c r="F77" i="9"/>
  <c r="E76" i="9"/>
  <c r="F75" i="9"/>
  <c r="E74" i="9"/>
  <c r="F73" i="9"/>
  <c r="E71" i="9"/>
  <c r="E68" i="9"/>
  <c r="G67" i="9"/>
  <c r="E67" i="9"/>
  <c r="F67" i="9"/>
  <c r="G66" i="9"/>
  <c r="E66" i="9"/>
  <c r="F66" i="9"/>
  <c r="H66" i="9"/>
  <c r="G64" i="9"/>
  <c r="E63" i="9"/>
  <c r="G62" i="9"/>
  <c r="E60" i="9"/>
  <c r="G59" i="9"/>
  <c r="G57" i="9"/>
  <c r="G56" i="9"/>
  <c r="E55" i="9"/>
  <c r="F53" i="9"/>
  <c r="G53" i="9"/>
  <c r="G51" i="9"/>
  <c r="G50" i="9"/>
  <c r="E49" i="9"/>
  <c r="G48" i="9"/>
  <c r="G47" i="9"/>
  <c r="G45" i="9"/>
  <c r="F45" i="9"/>
  <c r="F44" i="9"/>
  <c r="F43" i="9"/>
  <c r="G42" i="9"/>
  <c r="E41" i="9"/>
  <c r="F40" i="9"/>
  <c r="G39" i="9"/>
  <c r="E38" i="9"/>
  <c r="G36" i="9"/>
  <c r="F35" i="9"/>
  <c r="G35" i="9"/>
  <c r="G34" i="9"/>
  <c r="G33" i="9"/>
  <c r="G30" i="9"/>
  <c r="E30" i="9"/>
  <c r="G26" i="9"/>
  <c r="G25" i="9"/>
  <c r="F22" i="9"/>
  <c r="G21" i="9"/>
  <c r="G18" i="9"/>
  <c r="F17" i="9"/>
  <c r="G16" i="9"/>
  <c r="G15" i="9"/>
  <c r="E14" i="9"/>
  <c r="G13" i="9"/>
  <c r="G10" i="9"/>
  <c r="G9" i="9"/>
  <c r="H9" i="9"/>
  <c r="F8" i="9"/>
  <c r="F6" i="9"/>
  <c r="E6" i="9"/>
  <c r="G5" i="9"/>
  <c r="F2" i="9"/>
  <c r="G159" i="8"/>
  <c r="G156" i="8"/>
  <c r="G155" i="8"/>
  <c r="G154" i="8"/>
  <c r="G151" i="8"/>
  <c r="E150" i="8"/>
  <c r="G149" i="8"/>
  <c r="G148" i="8"/>
  <c r="G147" i="8"/>
  <c r="G146" i="8"/>
  <c r="G145" i="8"/>
  <c r="G143" i="8"/>
  <c r="G140" i="8"/>
  <c r="G138" i="8"/>
  <c r="F135" i="8"/>
  <c r="E134" i="8"/>
  <c r="E131" i="8"/>
  <c r="G130" i="8"/>
  <c r="G129" i="8"/>
  <c r="F126" i="8"/>
  <c r="E125" i="8"/>
  <c r="G124" i="8"/>
  <c r="E123" i="8"/>
  <c r="G122" i="8"/>
  <c r="G121" i="8"/>
  <c r="F119" i="8"/>
  <c r="F118" i="8"/>
  <c r="E118" i="8"/>
  <c r="E117" i="8"/>
  <c r="F116" i="8"/>
  <c r="E115" i="8"/>
  <c r="G114" i="8"/>
  <c r="G111" i="8"/>
  <c r="F110" i="8"/>
  <c r="G108" i="8"/>
  <c r="E108" i="8"/>
  <c r="G107" i="8"/>
  <c r="G106" i="8"/>
  <c r="E106" i="8"/>
  <c r="F105" i="8"/>
  <c r="G101" i="8"/>
  <c r="F101" i="8"/>
  <c r="G100" i="8"/>
  <c r="F98" i="8"/>
  <c r="G97" i="8"/>
  <c r="E97" i="8"/>
  <c r="G96" i="8"/>
  <c r="G95" i="8"/>
  <c r="E95" i="8"/>
  <c r="F93" i="8"/>
  <c r="G90" i="8"/>
  <c r="F90" i="8"/>
  <c r="G89" i="8"/>
  <c r="E89" i="8"/>
  <c r="G88" i="8"/>
  <c r="F88" i="8"/>
  <c r="G87" i="8"/>
  <c r="F87" i="8"/>
  <c r="G86" i="8"/>
  <c r="F86" i="8"/>
  <c r="G85" i="8"/>
  <c r="E85" i="8"/>
  <c r="G84" i="8"/>
  <c r="F84" i="8"/>
  <c r="G83" i="8"/>
  <c r="E82" i="8"/>
  <c r="F81" i="8"/>
  <c r="E80" i="8"/>
  <c r="F79" i="8"/>
  <c r="E78" i="8"/>
  <c r="F77" i="8"/>
  <c r="E76" i="8"/>
  <c r="F75" i="8"/>
  <c r="E74" i="8"/>
  <c r="F73" i="8"/>
  <c r="E68" i="8"/>
  <c r="G67" i="8"/>
  <c r="E67" i="8"/>
  <c r="F67" i="8"/>
  <c r="G66" i="8"/>
  <c r="E66" i="8"/>
  <c r="G65" i="8"/>
  <c r="G64" i="8"/>
  <c r="F63" i="8"/>
  <c r="G60" i="8"/>
  <c r="F59" i="8"/>
  <c r="G57" i="8"/>
  <c r="G56" i="8"/>
  <c r="G55" i="8"/>
  <c r="F53" i="8"/>
  <c r="F50" i="8"/>
  <c r="E49" i="8"/>
  <c r="G48" i="8"/>
  <c r="G47" i="8"/>
  <c r="G46" i="8"/>
  <c r="G45" i="8"/>
  <c r="F45" i="8"/>
  <c r="F44" i="8"/>
  <c r="F43" i="8"/>
  <c r="G42" i="8"/>
  <c r="F40" i="8"/>
  <c r="G40" i="8"/>
  <c r="F39" i="8"/>
  <c r="G36" i="8"/>
  <c r="F35" i="8"/>
  <c r="G35" i="8"/>
  <c r="G32" i="8"/>
  <c r="G31" i="8"/>
  <c r="G30" i="8"/>
  <c r="E28" i="8"/>
  <c r="G26" i="8"/>
  <c r="G23" i="8"/>
  <c r="G22" i="8"/>
  <c r="E19" i="8"/>
  <c r="G18" i="8"/>
  <c r="F17" i="8"/>
  <c r="G17" i="8"/>
  <c r="F15" i="8"/>
  <c r="G13" i="8"/>
  <c r="G9" i="8"/>
  <c r="H9" i="8"/>
  <c r="F8" i="8"/>
  <c r="F6" i="8"/>
  <c r="G5" i="8"/>
  <c r="F4" i="8"/>
  <c r="E2" i="8"/>
  <c r="G157" i="7"/>
  <c r="G156" i="7"/>
  <c r="G155" i="7"/>
  <c r="G151" i="7"/>
  <c r="E150" i="7"/>
  <c r="G149" i="7"/>
  <c r="G148" i="7"/>
  <c r="F145" i="7"/>
  <c r="G143" i="7"/>
  <c r="G141" i="7"/>
  <c r="G140" i="7"/>
  <c r="G139" i="7"/>
  <c r="G136" i="7"/>
  <c r="H136" i="7"/>
  <c r="F135" i="7"/>
  <c r="G133" i="7"/>
  <c r="E131" i="7"/>
  <c r="G130" i="7"/>
  <c r="G129" i="7"/>
  <c r="G127" i="7"/>
  <c r="G124" i="7"/>
  <c r="F124" i="7"/>
  <c r="E123" i="7"/>
  <c r="F119" i="7"/>
  <c r="G119" i="7"/>
  <c r="F118" i="7"/>
  <c r="F116" i="7"/>
  <c r="G116" i="7"/>
  <c r="E115" i="7"/>
  <c r="G111" i="7"/>
  <c r="F110" i="7"/>
  <c r="G108" i="7"/>
  <c r="G107" i="7"/>
  <c r="F107" i="7"/>
  <c r="G106" i="7"/>
  <c r="G101" i="7"/>
  <c r="G100" i="7"/>
  <c r="G99" i="7"/>
  <c r="F98" i="7"/>
  <c r="G97" i="7"/>
  <c r="E97" i="7"/>
  <c r="G96" i="7"/>
  <c r="G95" i="7"/>
  <c r="E93" i="7"/>
  <c r="E91" i="7"/>
  <c r="G90" i="7"/>
  <c r="F90" i="7"/>
  <c r="G89" i="7"/>
  <c r="F89" i="7"/>
  <c r="G88" i="7"/>
  <c r="F88" i="7"/>
  <c r="G87" i="7"/>
  <c r="F87" i="7"/>
  <c r="G86" i="7"/>
  <c r="F86" i="7"/>
  <c r="E86" i="7"/>
  <c r="H86" i="7"/>
  <c r="G85" i="7"/>
  <c r="G84" i="7"/>
  <c r="F84" i="7"/>
  <c r="G83" i="7"/>
  <c r="F77" i="7"/>
  <c r="F75" i="7"/>
  <c r="E69" i="7"/>
  <c r="G67" i="7"/>
  <c r="E67" i="7"/>
  <c r="G66" i="7"/>
  <c r="E66" i="7"/>
  <c r="F66" i="7"/>
  <c r="H66" i="7"/>
  <c r="G61" i="7"/>
  <c r="E58" i="7"/>
  <c r="G56" i="7"/>
  <c r="E55" i="7"/>
  <c r="F53" i="7"/>
  <c r="F52" i="7"/>
  <c r="E51" i="7"/>
  <c r="G50" i="7"/>
  <c r="E49" i="7"/>
  <c r="G45" i="7"/>
  <c r="F45" i="7"/>
  <c r="F44" i="7"/>
  <c r="G44" i="7"/>
  <c r="G42" i="7"/>
  <c r="F40" i="7"/>
  <c r="G40" i="7"/>
  <c r="F39" i="7"/>
  <c r="E38" i="7"/>
  <c r="G36" i="7"/>
  <c r="E36" i="7"/>
  <c r="F35" i="7"/>
  <c r="G34" i="7"/>
  <c r="F33" i="7"/>
  <c r="G30" i="7"/>
  <c r="F30" i="7"/>
  <c r="G29" i="7"/>
  <c r="E28" i="7"/>
  <c r="E24" i="7"/>
  <c r="G23" i="7"/>
  <c r="F19" i="7"/>
  <c r="G18" i="7"/>
  <c r="F17" i="7"/>
  <c r="E16" i="7"/>
  <c r="G15" i="7"/>
  <c r="F8" i="7"/>
  <c r="G8" i="7"/>
  <c r="G7" i="7"/>
  <c r="F6" i="7"/>
  <c r="G5" i="7"/>
  <c r="G157" i="6"/>
  <c r="G156" i="6"/>
  <c r="E154" i="6"/>
  <c r="G153" i="6"/>
  <c r="G152" i="6"/>
  <c r="E150" i="6"/>
  <c r="G149" i="6"/>
  <c r="G148" i="6"/>
  <c r="G146" i="6"/>
  <c r="G145" i="6"/>
  <c r="G144" i="6"/>
  <c r="G143" i="6"/>
  <c r="E142" i="6"/>
  <c r="G141" i="6"/>
  <c r="G140" i="6"/>
  <c r="G139" i="6"/>
  <c r="G138" i="6"/>
  <c r="E137" i="6"/>
  <c r="G136" i="6"/>
  <c r="H136" i="6"/>
  <c r="F135" i="6"/>
  <c r="G134" i="6"/>
  <c r="G133" i="6"/>
  <c r="F131" i="6"/>
  <c r="G130" i="6"/>
  <c r="G129" i="6"/>
  <c r="G128" i="6"/>
  <c r="G127" i="6"/>
  <c r="F126" i="6"/>
  <c r="E125" i="6"/>
  <c r="G124" i="6"/>
  <c r="F124" i="6"/>
  <c r="F123" i="6"/>
  <c r="G120" i="6"/>
  <c r="F119" i="6"/>
  <c r="G119" i="6"/>
  <c r="F118" i="6"/>
  <c r="G117" i="6"/>
  <c r="F116" i="6"/>
  <c r="G113" i="6"/>
  <c r="G112" i="6"/>
  <c r="G111" i="6"/>
  <c r="G108" i="6"/>
  <c r="E108" i="6"/>
  <c r="G107" i="6"/>
  <c r="F107" i="6"/>
  <c r="G106" i="6"/>
  <c r="E106" i="6"/>
  <c r="F105" i="6"/>
  <c r="F103" i="6"/>
  <c r="G101" i="6"/>
  <c r="F101" i="6"/>
  <c r="G100" i="6"/>
  <c r="G99" i="6"/>
  <c r="F98" i="6"/>
  <c r="G97" i="6"/>
  <c r="G96" i="6"/>
  <c r="F96" i="6"/>
  <c r="G95" i="6"/>
  <c r="E95" i="6"/>
  <c r="E92" i="6"/>
  <c r="E91" i="6"/>
  <c r="G90" i="6"/>
  <c r="G89" i="6"/>
  <c r="G88" i="6"/>
  <c r="F88" i="6"/>
  <c r="E88" i="6"/>
  <c r="G87" i="6"/>
  <c r="F87" i="6"/>
  <c r="E87" i="6"/>
  <c r="H87" i="6"/>
  <c r="G86" i="6"/>
  <c r="F86" i="6"/>
  <c r="E86" i="6"/>
  <c r="H86" i="6"/>
  <c r="G85" i="6"/>
  <c r="G84" i="6"/>
  <c r="F84" i="6"/>
  <c r="E82" i="6"/>
  <c r="E80" i="6"/>
  <c r="E79" i="6"/>
  <c r="E78" i="6"/>
  <c r="E76" i="6"/>
  <c r="F75" i="6"/>
  <c r="E74" i="6"/>
  <c r="G71" i="6"/>
  <c r="G70" i="6"/>
  <c r="E69" i="6"/>
  <c r="G67" i="6"/>
  <c r="E67" i="6"/>
  <c r="F67" i="6"/>
  <c r="G66" i="6"/>
  <c r="E66" i="6"/>
  <c r="F66" i="6"/>
  <c r="H66" i="6"/>
  <c r="G65" i="6"/>
  <c r="F63" i="6"/>
  <c r="G62" i="6"/>
  <c r="E61" i="6"/>
  <c r="G55" i="6"/>
  <c r="F53" i="6"/>
  <c r="G53" i="6"/>
  <c r="E52" i="6"/>
  <c r="G51" i="6"/>
  <c r="E49" i="6"/>
  <c r="E46" i="6"/>
  <c r="G45" i="6"/>
  <c r="F45" i="6"/>
  <c r="E45" i="6"/>
  <c r="H45" i="6"/>
  <c r="F44" i="6"/>
  <c r="G42" i="6"/>
  <c r="G41" i="6"/>
  <c r="F40" i="6"/>
  <c r="E38" i="6"/>
  <c r="F37" i="6"/>
  <c r="G36" i="6"/>
  <c r="E36" i="6"/>
  <c r="F35" i="6"/>
  <c r="G34" i="6"/>
  <c r="E33" i="6"/>
  <c r="G32" i="6"/>
  <c r="G30" i="6"/>
  <c r="E30" i="6"/>
  <c r="F29" i="6"/>
  <c r="G25" i="6"/>
  <c r="G24" i="6"/>
  <c r="E22" i="6"/>
  <c r="G21" i="6"/>
  <c r="G20" i="6"/>
  <c r="G19" i="6"/>
  <c r="G18" i="6"/>
  <c r="F17" i="6"/>
  <c r="E17" i="6"/>
  <c r="G16" i="6"/>
  <c r="E15" i="6"/>
  <c r="G13" i="6"/>
  <c r="G12" i="6"/>
  <c r="G11" i="6"/>
  <c r="G9" i="6"/>
  <c r="H9" i="6"/>
  <c r="F8" i="6"/>
  <c r="G8" i="6"/>
  <c r="F6" i="6"/>
  <c r="G5" i="6"/>
  <c r="G4" i="6"/>
  <c r="G147" i="5"/>
  <c r="G138" i="5"/>
  <c r="G124" i="5"/>
  <c r="F119" i="5"/>
  <c r="F118" i="5"/>
  <c r="F116" i="5"/>
  <c r="E113" i="5"/>
  <c r="G112" i="5"/>
  <c r="G108" i="5"/>
  <c r="G107" i="5"/>
  <c r="G106" i="5"/>
  <c r="F105" i="5"/>
  <c r="G101" i="5"/>
  <c r="G100" i="5"/>
  <c r="G97" i="5"/>
  <c r="G96" i="5"/>
  <c r="F96" i="5"/>
  <c r="G95" i="5"/>
  <c r="E93" i="5"/>
  <c r="G90" i="5"/>
  <c r="G89" i="5"/>
  <c r="G88" i="5"/>
  <c r="F88" i="5"/>
  <c r="E88" i="5"/>
  <c r="H88" i="5"/>
  <c r="G87" i="5"/>
  <c r="F87" i="5"/>
  <c r="G86" i="5"/>
  <c r="F86" i="5"/>
  <c r="G85" i="5"/>
  <c r="G84" i="5"/>
  <c r="F80" i="5"/>
  <c r="G67" i="5"/>
  <c r="E67" i="5"/>
  <c r="G66" i="5"/>
  <c r="E66" i="5"/>
  <c r="G64" i="5"/>
  <c r="F63" i="5"/>
  <c r="G57" i="5"/>
  <c r="F55" i="5"/>
  <c r="F53" i="5"/>
  <c r="G45" i="5"/>
  <c r="F45" i="5"/>
  <c r="F44" i="5"/>
  <c r="G42" i="5"/>
  <c r="F40" i="5"/>
  <c r="G36" i="5"/>
  <c r="F35" i="5"/>
  <c r="G30" i="5"/>
  <c r="F30" i="5"/>
  <c r="F17" i="5"/>
  <c r="E13" i="5"/>
  <c r="F8" i="5"/>
  <c r="F6" i="5"/>
  <c r="G6" i="5"/>
  <c r="G155" i="4"/>
  <c r="F148" i="4"/>
  <c r="G139" i="4"/>
  <c r="G131" i="4"/>
  <c r="G124" i="4"/>
  <c r="F119" i="4"/>
  <c r="F118" i="4"/>
  <c r="F116" i="4"/>
  <c r="G108" i="4"/>
  <c r="G107" i="4"/>
  <c r="G106" i="4"/>
  <c r="F102" i="4"/>
  <c r="G101" i="4"/>
  <c r="G100" i="4"/>
  <c r="G97" i="4"/>
  <c r="G96" i="4"/>
  <c r="G95" i="4"/>
  <c r="G90" i="4"/>
  <c r="G89" i="4"/>
  <c r="G88" i="4"/>
  <c r="F88" i="4"/>
  <c r="G87" i="4"/>
  <c r="F87" i="4"/>
  <c r="G86" i="4"/>
  <c r="F86" i="4"/>
  <c r="G85" i="4"/>
  <c r="G84" i="4"/>
  <c r="G67" i="4"/>
  <c r="E67" i="4"/>
  <c r="G66" i="4"/>
  <c r="E66" i="4"/>
  <c r="E57" i="4"/>
  <c r="F53" i="4"/>
  <c r="F48" i="4"/>
  <c r="G45" i="4"/>
  <c r="F45" i="4"/>
  <c r="F44" i="4"/>
  <c r="F40" i="4"/>
  <c r="G36" i="4"/>
  <c r="F35" i="4"/>
  <c r="G32" i="4"/>
  <c r="G30" i="4"/>
  <c r="E22" i="4"/>
  <c r="F17" i="4"/>
  <c r="G14" i="4"/>
  <c r="F8" i="4"/>
  <c r="F6" i="4"/>
  <c r="G6" i="4"/>
  <c r="H67" i="9"/>
  <c r="F95" i="5"/>
  <c r="H95" i="5"/>
  <c r="F3" i="8"/>
  <c r="F155" i="7"/>
  <c r="E146" i="8"/>
  <c r="G137" i="8"/>
  <c r="E142" i="4"/>
  <c r="F89" i="6"/>
  <c r="H89" i="6"/>
  <c r="E118" i="6"/>
  <c r="H118" i="6"/>
  <c r="G7" i="6"/>
  <c r="E40" i="9"/>
  <c r="H40" i="9"/>
  <c r="F91" i="7"/>
  <c r="H91" i="7"/>
  <c r="F137" i="5"/>
  <c r="G48" i="4"/>
  <c r="F97" i="8"/>
  <c r="H97" i="8"/>
  <c r="G115" i="8"/>
  <c r="E18" i="7"/>
  <c r="E71" i="7"/>
  <c r="E52" i="5"/>
  <c r="E48" i="4"/>
  <c r="E39" i="6"/>
  <c r="G55" i="9"/>
  <c r="F22" i="6"/>
  <c r="E128" i="6"/>
  <c r="G115" i="7"/>
  <c r="E126" i="7"/>
  <c r="E33" i="9"/>
  <c r="E17" i="5"/>
  <c r="H17" i="5"/>
  <c r="E21" i="5"/>
  <c r="H21" i="5"/>
  <c r="F150" i="5"/>
  <c r="E4" i="7"/>
  <c r="E22" i="8"/>
  <c r="F112" i="8"/>
  <c r="F39" i="9"/>
  <c r="G49" i="9"/>
  <c r="F63" i="9"/>
  <c r="F148" i="6"/>
  <c r="F4" i="7"/>
  <c r="E44" i="7"/>
  <c r="H44" i="7"/>
  <c r="F150" i="9"/>
  <c r="F22" i="5"/>
  <c r="E41" i="5"/>
  <c r="F52" i="5"/>
  <c r="F7" i="6"/>
  <c r="G39" i="6"/>
  <c r="E63" i="7"/>
  <c r="E153" i="8"/>
  <c r="F153" i="8"/>
  <c r="E69" i="9"/>
  <c r="E145" i="9"/>
  <c r="E94" i="4"/>
  <c r="H94" i="4" s="1"/>
  <c r="F18" i="5"/>
  <c r="F153" i="5"/>
  <c r="F128" i="6"/>
  <c r="G58" i="7"/>
  <c r="E50" i="8"/>
  <c r="F115" i="8"/>
  <c r="F111" i="4"/>
  <c r="G39" i="5"/>
  <c r="F126" i="5"/>
  <c r="F141" i="5"/>
  <c r="F146" i="6"/>
  <c r="F28" i="8"/>
  <c r="G150" i="8"/>
  <c r="F155" i="8"/>
  <c r="E10" i="9"/>
  <c r="F157" i="4"/>
  <c r="G15" i="5"/>
  <c r="G50" i="5"/>
  <c r="G55" i="5"/>
  <c r="F62" i="5"/>
  <c r="G71" i="5"/>
  <c r="F85" i="5"/>
  <c r="H85" i="5"/>
  <c r="G113" i="5"/>
  <c r="F130" i="5"/>
  <c r="G137" i="5"/>
  <c r="E154" i="5"/>
  <c r="E19" i="6"/>
  <c r="E24" i="6"/>
  <c r="E31" i="6"/>
  <c r="F49" i="6"/>
  <c r="F55" i="6"/>
  <c r="F62" i="6"/>
  <c r="E120" i="6"/>
  <c r="E139" i="6"/>
  <c r="E145" i="6"/>
  <c r="G39" i="7"/>
  <c r="F71" i="7"/>
  <c r="F97" i="7"/>
  <c r="H97" i="7"/>
  <c r="F131" i="7"/>
  <c r="E137" i="7"/>
  <c r="F150" i="7"/>
  <c r="F22" i="8"/>
  <c r="G63" i="9"/>
  <c r="F19" i="6"/>
  <c r="F31" i="6"/>
  <c r="G49" i="6"/>
  <c r="F120" i="6"/>
  <c r="F139" i="6"/>
  <c r="F145" i="6"/>
  <c r="G131" i="7"/>
  <c r="G150" i="7"/>
  <c r="G131" i="9"/>
  <c r="E26" i="5"/>
  <c r="F39" i="5"/>
  <c r="E43" i="5"/>
  <c r="H43" i="5"/>
  <c r="F93" i="5"/>
  <c r="H93" i="5"/>
  <c r="G15" i="6"/>
  <c r="G63" i="6"/>
  <c r="F106" i="6"/>
  <c r="H106" i="6"/>
  <c r="F18" i="7"/>
  <c r="G31" i="7"/>
  <c r="F58" i="7"/>
  <c r="F63" i="7"/>
  <c r="F81" i="7"/>
  <c r="H81" i="7"/>
  <c r="G145" i="7"/>
  <c r="F19" i="8"/>
  <c r="F23" i="8"/>
  <c r="E52" i="8"/>
  <c r="F102" i="8"/>
  <c r="H102" i="8"/>
  <c r="F146" i="8"/>
  <c r="F28" i="9"/>
  <c r="F33" i="9"/>
  <c r="E119" i="9"/>
  <c r="H119" i="9"/>
  <c r="E147" i="9"/>
  <c r="G19" i="8"/>
  <c r="F52" i="8"/>
  <c r="E39" i="9"/>
  <c r="H39" i="9"/>
  <c r="G115" i="9"/>
  <c r="F147" i="9"/>
  <c r="E153" i="9"/>
  <c r="F13" i="5"/>
  <c r="F48" i="5"/>
  <c r="E65" i="5"/>
  <c r="G83" i="5"/>
  <c r="F140" i="5"/>
  <c r="E11" i="6"/>
  <c r="F32" i="6"/>
  <c r="E37" i="6"/>
  <c r="F113" i="6"/>
  <c r="E153" i="6"/>
  <c r="G19" i="7"/>
  <c r="E99" i="7"/>
  <c r="F140" i="7"/>
  <c r="G135" i="8"/>
  <c r="G13" i="5"/>
  <c r="G44" i="5"/>
  <c r="H44" i="5"/>
  <c r="G48" i="5"/>
  <c r="F11" i="6"/>
  <c r="E33" i="7"/>
  <c r="E37" i="7"/>
  <c r="F129" i="7"/>
  <c r="G135" i="7"/>
  <c r="F32" i="8"/>
  <c r="E44" i="8"/>
  <c r="H44" i="8"/>
  <c r="F49" i="9"/>
  <c r="F55" i="9"/>
  <c r="E70" i="9"/>
  <c r="G2" i="5"/>
  <c r="I48" i="1"/>
  <c r="F70" i="5"/>
  <c r="F100" i="5"/>
  <c r="H100" i="5"/>
  <c r="F123" i="5"/>
  <c r="E141" i="5"/>
  <c r="H141" i="5"/>
  <c r="G153" i="5"/>
  <c r="G33" i="7"/>
  <c r="E37" i="4"/>
  <c r="F26" i="5"/>
  <c r="E61" i="5"/>
  <c r="F65" i="5"/>
  <c r="F81" i="5"/>
  <c r="H81" i="5"/>
  <c r="F91" i="5"/>
  <c r="H91" i="5"/>
  <c r="F104" i="5"/>
  <c r="H104" i="5"/>
  <c r="F129" i="5"/>
  <c r="E135" i="5"/>
  <c r="E147" i="5"/>
  <c r="E2" i="6"/>
  <c r="F18" i="6"/>
  <c r="G22" i="6"/>
  <c r="F36" i="6"/>
  <c r="H36" i="6"/>
  <c r="F52" i="6"/>
  <c r="F70" i="6"/>
  <c r="G2" i="7"/>
  <c r="E90" i="7"/>
  <c r="H90" i="7"/>
  <c r="F95" i="7"/>
  <c r="H95" i="7"/>
  <c r="F113" i="7"/>
  <c r="F123" i="7"/>
  <c r="E127" i="7"/>
  <c r="E146" i="7"/>
  <c r="E154" i="7"/>
  <c r="F11" i="8"/>
  <c r="G29" i="8"/>
  <c r="E33" i="8"/>
  <c r="F58" i="8"/>
  <c r="H67" i="8"/>
  <c r="F4" i="9"/>
  <c r="E19" i="9"/>
  <c r="E24" i="9"/>
  <c r="E61" i="9"/>
  <c r="F145" i="9"/>
  <c r="E50" i="4"/>
  <c r="F125" i="4"/>
  <c r="E143" i="4"/>
  <c r="E158" i="4"/>
  <c r="E31" i="5"/>
  <c r="G61" i="5"/>
  <c r="E110" i="5"/>
  <c r="E120" i="5"/>
  <c r="G129" i="5"/>
  <c r="F135" i="5"/>
  <c r="F156" i="5"/>
  <c r="F2" i="6"/>
  <c r="F10" i="6"/>
  <c r="E29" i="6"/>
  <c r="G52" i="6"/>
  <c r="E63" i="6"/>
  <c r="F79" i="6"/>
  <c r="H79" i="6"/>
  <c r="E90" i="6"/>
  <c r="H90" i="6"/>
  <c r="F95" i="6"/>
  <c r="H95" i="6"/>
  <c r="G110" i="6"/>
  <c r="F140" i="6"/>
  <c r="F150" i="6"/>
  <c r="E7" i="7"/>
  <c r="G28" i="7"/>
  <c r="E40" i="7"/>
  <c r="H40" i="7"/>
  <c r="G123" i="7"/>
  <c r="E138" i="7"/>
  <c r="F146" i="7"/>
  <c r="E17" i="8"/>
  <c r="H17" i="8"/>
  <c r="E24" i="8"/>
  <c r="F33" i="8"/>
  <c r="E37" i="8"/>
  <c r="E41" i="8"/>
  <c r="G63" i="8"/>
  <c r="F89" i="8"/>
  <c r="H89" i="8"/>
  <c r="F123" i="8"/>
  <c r="G142" i="8"/>
  <c r="E147" i="8"/>
  <c r="G14" i="9"/>
  <c r="F19" i="9"/>
  <c r="F24" i="9"/>
  <c r="F41" i="9"/>
  <c r="F61" i="9"/>
  <c r="F71" i="9"/>
  <c r="F85" i="9"/>
  <c r="H85" i="9"/>
  <c r="F106" i="9"/>
  <c r="H106" i="9"/>
  <c r="E111" i="9"/>
  <c r="F120" i="9"/>
  <c r="E154" i="9"/>
  <c r="G29" i="4"/>
  <c r="E15" i="5"/>
  <c r="F31" i="5"/>
  <c r="F101" i="5"/>
  <c r="H101" i="5"/>
  <c r="F110" i="5"/>
  <c r="G148" i="5"/>
  <c r="G156" i="5"/>
  <c r="F15" i="6"/>
  <c r="G29" i="6"/>
  <c r="G44" i="6"/>
  <c r="H44" i="6"/>
  <c r="G150" i="6"/>
  <c r="F155" i="6"/>
  <c r="F7" i="7"/>
  <c r="F138" i="7"/>
  <c r="G24" i="8"/>
  <c r="G41" i="8"/>
  <c r="G123" i="8"/>
  <c r="G41" i="9"/>
  <c r="G71" i="9"/>
  <c r="E146" i="9"/>
  <c r="F146" i="9"/>
  <c r="G150" i="9"/>
  <c r="E155" i="9"/>
  <c r="F101" i="4"/>
  <c r="G140" i="4"/>
  <c r="E19" i="5"/>
  <c r="E29" i="5"/>
  <c r="G41" i="5"/>
  <c r="E59" i="5"/>
  <c r="F122" i="5"/>
  <c r="G126" i="5"/>
  <c r="G140" i="5"/>
  <c r="F145" i="5"/>
  <c r="E149" i="5"/>
  <c r="E4" i="6"/>
  <c r="F24" i="6"/>
  <c r="G37" i="6"/>
  <c r="E41" i="6"/>
  <c r="F81" i="6"/>
  <c r="H81" i="6"/>
  <c r="E112" i="6"/>
  <c r="G126" i="6"/>
  <c r="E138" i="6"/>
  <c r="E8" i="7"/>
  <c r="H8" i="7"/>
  <c r="G14" i="7"/>
  <c r="E30" i="7"/>
  <c r="H30" i="7"/>
  <c r="E62" i="7"/>
  <c r="F100" i="7"/>
  <c r="H100" i="7"/>
  <c r="E105" i="7"/>
  <c r="H105" i="7"/>
  <c r="E110" i="7"/>
  <c r="E120" i="7"/>
  <c r="E139" i="7"/>
  <c r="F148" i="7"/>
  <c r="E153" i="7"/>
  <c r="F156" i="7"/>
  <c r="E4" i="8"/>
  <c r="F18" i="8"/>
  <c r="E31" i="8"/>
  <c r="E39" i="8"/>
  <c r="E46" i="8"/>
  <c r="E55" i="8"/>
  <c r="E61" i="8"/>
  <c r="F106" i="8"/>
  <c r="H106" i="8"/>
  <c r="E120" i="8"/>
  <c r="F138" i="8"/>
  <c r="E32" i="9"/>
  <c r="E53" i="9"/>
  <c r="H53" i="9"/>
  <c r="F62" i="9"/>
  <c r="F69" i="9"/>
  <c r="E99" i="9"/>
  <c r="F102" i="9"/>
  <c r="H102" i="9"/>
  <c r="F155" i="9"/>
  <c r="F145" i="4"/>
  <c r="F2" i="5"/>
  <c r="H48" i="1"/>
  <c r="G29" i="5"/>
  <c r="G59" i="5"/>
  <c r="E71" i="5"/>
  <c r="F102" i="5"/>
  <c r="H102" i="5"/>
  <c r="G145" i="5"/>
  <c r="F149" i="5"/>
  <c r="F158" i="5"/>
  <c r="F4" i="6"/>
  <c r="F41" i="6"/>
  <c r="E55" i="6"/>
  <c r="F112" i="6"/>
  <c r="E19" i="7"/>
  <c r="E39" i="7"/>
  <c r="E46" i="7"/>
  <c r="E52" i="7"/>
  <c r="F62" i="7"/>
  <c r="E70" i="7"/>
  <c r="F83" i="7"/>
  <c r="E89" i="7"/>
  <c r="H89" i="7"/>
  <c r="F139" i="7"/>
  <c r="E145" i="7"/>
  <c r="F153" i="7"/>
  <c r="G4" i="8"/>
  <c r="E15" i="8"/>
  <c r="G39" i="8"/>
  <c r="F46" i="8"/>
  <c r="F61" i="8"/>
  <c r="F70" i="8"/>
  <c r="E112" i="8"/>
  <c r="F120" i="8"/>
  <c r="F150" i="8"/>
  <c r="E154" i="8"/>
  <c r="G2" i="9"/>
  <c r="G7" i="9"/>
  <c r="G11" i="9"/>
  <c r="G22" i="9"/>
  <c r="F32" i="9"/>
  <c r="E59" i="9"/>
  <c r="F99" i="9"/>
  <c r="F123" i="9"/>
  <c r="F137" i="9"/>
  <c r="F46" i="7"/>
  <c r="G52" i="7"/>
  <c r="G15" i="8"/>
  <c r="F115" i="9"/>
  <c r="G137" i="9"/>
  <c r="G7" i="8"/>
  <c r="F7" i="8"/>
  <c r="E7" i="8"/>
  <c r="E7" i="5"/>
  <c r="E96" i="5"/>
  <c r="H96" i="5"/>
  <c r="E99" i="5"/>
  <c r="F106" i="5"/>
  <c r="H106" i="5"/>
  <c r="F142" i="5"/>
  <c r="F59" i="6"/>
  <c r="G59" i="6"/>
  <c r="E104" i="6"/>
  <c r="F104" i="6"/>
  <c r="E21" i="4"/>
  <c r="G59" i="4"/>
  <c r="F108" i="4"/>
  <c r="E116" i="4"/>
  <c r="H116" i="4" s="1"/>
  <c r="E123" i="4"/>
  <c r="G33" i="5"/>
  <c r="F83" i="5"/>
  <c r="F113" i="5"/>
  <c r="E130" i="5"/>
  <c r="E138" i="5"/>
  <c r="G23" i="6"/>
  <c r="F23" i="6"/>
  <c r="G83" i="6"/>
  <c r="F83" i="6"/>
  <c r="E93" i="6"/>
  <c r="F93" i="6"/>
  <c r="G121" i="6"/>
  <c r="F121" i="6"/>
  <c r="G147" i="6"/>
  <c r="F147" i="6"/>
  <c r="E147" i="6"/>
  <c r="G55" i="7"/>
  <c r="F55" i="7"/>
  <c r="E102" i="7"/>
  <c r="F102" i="7"/>
  <c r="E158" i="8"/>
  <c r="G158" i="8"/>
  <c r="F158" i="8"/>
  <c r="G46" i="9"/>
  <c r="F46" i="9"/>
  <c r="E46" i="9"/>
  <c r="F22" i="4"/>
  <c r="F39" i="4"/>
  <c r="E137" i="4"/>
  <c r="F7" i="5"/>
  <c r="E11" i="5"/>
  <c r="G24" i="5"/>
  <c r="E35" i="5"/>
  <c r="H35" i="5"/>
  <c r="G37" i="5"/>
  <c r="E46" i="5"/>
  <c r="F49" i="5"/>
  <c r="E57" i="5"/>
  <c r="E63" i="5"/>
  <c r="E69" i="5"/>
  <c r="E84" i="5"/>
  <c r="H84" i="5"/>
  <c r="G99" i="5"/>
  <c r="E114" i="5"/>
  <c r="E118" i="5"/>
  <c r="H118" i="5"/>
  <c r="F121" i="5"/>
  <c r="E128" i="5"/>
  <c r="F131" i="5"/>
  <c r="E157" i="5"/>
  <c r="E14" i="6"/>
  <c r="F14" i="6"/>
  <c r="E59" i="6"/>
  <c r="H67" i="6"/>
  <c r="E85" i="6"/>
  <c r="F85" i="6"/>
  <c r="G154" i="6"/>
  <c r="F154" i="6"/>
  <c r="E14" i="8"/>
  <c r="G14" i="8"/>
  <c r="F14" i="8"/>
  <c r="E58" i="9"/>
  <c r="G58" i="9"/>
  <c r="F58" i="9"/>
  <c r="G128" i="9"/>
  <c r="F128" i="9"/>
  <c r="E128" i="9"/>
  <c r="E58" i="6"/>
  <c r="G58" i="6"/>
  <c r="F58" i="6"/>
  <c r="E131" i="4"/>
  <c r="H131" i="4" s="1"/>
  <c r="E24" i="5"/>
  <c r="F28" i="5"/>
  <c r="F71" i="6"/>
  <c r="E71" i="6"/>
  <c r="G41" i="7"/>
  <c r="F41" i="7"/>
  <c r="E41" i="7"/>
  <c r="E100" i="8"/>
  <c r="F100" i="8"/>
  <c r="F31" i="9"/>
  <c r="G31" i="9"/>
  <c r="E31" i="9"/>
  <c r="I31" i="1"/>
  <c r="G22" i="4"/>
  <c r="F61" i="4"/>
  <c r="F152" i="4"/>
  <c r="G46" i="5"/>
  <c r="F57" i="5"/>
  <c r="G63" i="5"/>
  <c r="F69" i="5"/>
  <c r="F114" i="5"/>
  <c r="G121" i="5"/>
  <c r="F157" i="5"/>
  <c r="G17" i="6"/>
  <c r="H17" i="6"/>
  <c r="E100" i="6"/>
  <c r="F100" i="6"/>
  <c r="E115" i="6"/>
  <c r="G115" i="6"/>
  <c r="F115" i="6"/>
  <c r="G11" i="7"/>
  <c r="F11" i="7"/>
  <c r="G17" i="9"/>
  <c r="E17" i="9"/>
  <c r="F89" i="9"/>
  <c r="E89" i="9"/>
  <c r="E158" i="6"/>
  <c r="G158" i="6"/>
  <c r="F158" i="6"/>
  <c r="E104" i="8"/>
  <c r="F104" i="8"/>
  <c r="E26" i="4"/>
  <c r="F144" i="4"/>
  <c r="E37" i="5"/>
  <c r="G33" i="6"/>
  <c r="F33" i="6"/>
  <c r="F99" i="6"/>
  <c r="E99" i="6"/>
  <c r="G24" i="7"/>
  <c r="F24" i="7"/>
  <c r="G147" i="7"/>
  <c r="F147" i="7"/>
  <c r="E147" i="7"/>
  <c r="E4" i="5"/>
  <c r="E22" i="5"/>
  <c r="F32" i="5"/>
  <c r="E50" i="5"/>
  <c r="F3" i="6"/>
  <c r="F50" i="6"/>
  <c r="G50" i="6"/>
  <c r="E50" i="6"/>
  <c r="G61" i="6"/>
  <c r="F61" i="6"/>
  <c r="E116" i="6"/>
  <c r="G116" i="6"/>
  <c r="G137" i="6"/>
  <c r="F137" i="6"/>
  <c r="G3" i="7"/>
  <c r="F3" i="7"/>
  <c r="E3" i="7"/>
  <c r="E11" i="7"/>
  <c r="E106" i="7"/>
  <c r="F106" i="7"/>
  <c r="G139" i="8"/>
  <c r="F139" i="8"/>
  <c r="E139" i="8"/>
  <c r="G44" i="9"/>
  <c r="E44" i="9"/>
  <c r="E106" i="4"/>
  <c r="F79" i="5"/>
  <c r="H79" i="5"/>
  <c r="E123" i="6"/>
  <c r="G123" i="6"/>
  <c r="G69" i="7"/>
  <c r="F69" i="7"/>
  <c r="E97" i="4"/>
  <c r="F134" i="4"/>
  <c r="E90" i="5"/>
  <c r="H90" i="5"/>
  <c r="F97" i="5"/>
  <c r="H97" i="5"/>
  <c r="E112" i="5"/>
  <c r="F115" i="5"/>
  <c r="E122" i="5"/>
  <c r="F148" i="5"/>
  <c r="E155" i="5"/>
  <c r="E28" i="6"/>
  <c r="G28" i="6"/>
  <c r="F28" i="6"/>
  <c r="G46" i="6"/>
  <c r="F46" i="6"/>
  <c r="F69" i="6"/>
  <c r="G69" i="6"/>
  <c r="G32" i="7"/>
  <c r="F32" i="7"/>
  <c r="E32" i="7"/>
  <c r="E158" i="7"/>
  <c r="G158" i="7"/>
  <c r="F158" i="7"/>
  <c r="G10" i="8"/>
  <c r="F10" i="8"/>
  <c r="G71" i="8"/>
  <c r="F71" i="8"/>
  <c r="E71" i="8"/>
  <c r="G3" i="9"/>
  <c r="F3" i="9"/>
  <c r="G23" i="9"/>
  <c r="F23" i="9"/>
  <c r="E23" i="9"/>
  <c r="G128" i="7"/>
  <c r="F128" i="7"/>
  <c r="E128" i="7"/>
  <c r="F14" i="5"/>
  <c r="E139" i="5"/>
  <c r="E146" i="5"/>
  <c r="G6" i="7"/>
  <c r="E6" i="7"/>
  <c r="E59" i="4"/>
  <c r="E33" i="5"/>
  <c r="F36" i="5"/>
  <c r="H36" i="5"/>
  <c r="E55" i="5"/>
  <c r="F58" i="5"/>
  <c r="E97" i="6"/>
  <c r="F97" i="6"/>
  <c r="E131" i="6"/>
  <c r="G131" i="6"/>
  <c r="G22" i="7"/>
  <c r="F22" i="7"/>
  <c r="E79" i="7"/>
  <c r="F79" i="7"/>
  <c r="G118" i="7"/>
  <c r="E118" i="7"/>
  <c r="G37" i="9"/>
  <c r="E37" i="9"/>
  <c r="G99" i="8"/>
  <c r="H88" i="9"/>
  <c r="F99" i="7"/>
  <c r="G110" i="7"/>
  <c r="F120" i="7"/>
  <c r="F137" i="7"/>
  <c r="F154" i="7"/>
  <c r="G28" i="8"/>
  <c r="F31" i="8"/>
  <c r="G37" i="8"/>
  <c r="G50" i="8"/>
  <c r="G58" i="8"/>
  <c r="F154" i="8"/>
  <c r="F70" i="9"/>
  <c r="G123" i="9"/>
  <c r="F153" i="9"/>
  <c r="F85" i="8"/>
  <c r="H85" i="8"/>
  <c r="G126" i="8"/>
  <c r="F131" i="8"/>
  <c r="E137" i="8"/>
  <c r="E7" i="9"/>
  <c r="E50" i="9"/>
  <c r="E112" i="9"/>
  <c r="E138" i="9"/>
  <c r="F142" i="9"/>
  <c r="F156" i="9"/>
  <c r="E110" i="6"/>
  <c r="E155" i="6"/>
  <c r="E17" i="7"/>
  <c r="H17" i="7"/>
  <c r="F36" i="7"/>
  <c r="H36" i="7"/>
  <c r="E61" i="7"/>
  <c r="F85" i="7"/>
  <c r="H85" i="7"/>
  <c r="F93" i="7"/>
  <c r="H93" i="7"/>
  <c r="E103" i="7"/>
  <c r="H103" i="7"/>
  <c r="E111" i="7"/>
  <c r="F115" i="7"/>
  <c r="F121" i="7"/>
  <c r="E155" i="7"/>
  <c r="H155" i="7"/>
  <c r="E11" i="8"/>
  <c r="E29" i="8"/>
  <c r="F55" i="8"/>
  <c r="E59" i="8"/>
  <c r="F62" i="8"/>
  <c r="E69" i="8"/>
  <c r="E90" i="8"/>
  <c r="H90" i="8"/>
  <c r="F95" i="8"/>
  <c r="H95" i="8"/>
  <c r="E98" i="8"/>
  <c r="H98" i="8"/>
  <c r="G110" i="8"/>
  <c r="G118" i="8"/>
  <c r="H118" i="8"/>
  <c r="G131" i="8"/>
  <c r="E145" i="8"/>
  <c r="F147" i="8"/>
  <c r="E155" i="8"/>
  <c r="E4" i="9"/>
  <c r="F10" i="9"/>
  <c r="F14" i="9"/>
  <c r="G28" i="9"/>
  <c r="E62" i="9"/>
  <c r="F93" i="9"/>
  <c r="H93" i="9"/>
  <c r="F97" i="9"/>
  <c r="H97" i="9"/>
  <c r="F100" i="9"/>
  <c r="H100" i="9"/>
  <c r="F104" i="9"/>
  <c r="H104" i="9"/>
  <c r="F112" i="9"/>
  <c r="E120" i="9"/>
  <c r="G135" i="9"/>
  <c r="F138" i="9"/>
  <c r="G142" i="9"/>
  <c r="F61" i="7"/>
  <c r="G59" i="8"/>
  <c r="F69" i="8"/>
  <c r="F145" i="8"/>
  <c r="H88" i="6"/>
  <c r="F129" i="6"/>
  <c r="G135" i="6"/>
  <c r="F138" i="6"/>
  <c r="F142" i="6"/>
  <c r="F153" i="6"/>
  <c r="E2" i="7"/>
  <c r="E10" i="7"/>
  <c r="E23" i="7"/>
  <c r="E31" i="7"/>
  <c r="F49" i="7"/>
  <c r="E53" i="7"/>
  <c r="H53" i="7"/>
  <c r="F70" i="7"/>
  <c r="F104" i="7"/>
  <c r="H104" i="7"/>
  <c r="E112" i="7"/>
  <c r="E119" i="7"/>
  <c r="H119" i="7"/>
  <c r="G126" i="7"/>
  <c r="F142" i="7"/>
  <c r="F2" i="8"/>
  <c r="F36" i="8"/>
  <c r="H36" i="8"/>
  <c r="F49" i="8"/>
  <c r="E63" i="8"/>
  <c r="E99" i="8"/>
  <c r="F111" i="8"/>
  <c r="E128" i="8"/>
  <c r="E2" i="9"/>
  <c r="E11" i="9"/>
  <c r="F18" i="9"/>
  <c r="E22" i="9"/>
  <c r="E29" i="9"/>
  <c r="E52" i="9"/>
  <c r="E90" i="9"/>
  <c r="H90" i="9"/>
  <c r="E105" i="9"/>
  <c r="H105" i="9"/>
  <c r="E139" i="9"/>
  <c r="F154" i="9"/>
  <c r="F158" i="9"/>
  <c r="F91" i="6"/>
  <c r="H91" i="6"/>
  <c r="F102" i="6"/>
  <c r="H102" i="6"/>
  <c r="E126" i="6"/>
  <c r="G142" i="6"/>
  <c r="E146" i="6"/>
  <c r="F156" i="6"/>
  <c r="F10" i="7"/>
  <c r="F14" i="7"/>
  <c r="F23" i="7"/>
  <c r="F28" i="7"/>
  <c r="G49" i="7"/>
  <c r="H88" i="7"/>
  <c r="F112" i="7"/>
  <c r="G142" i="7"/>
  <c r="G2" i="8"/>
  <c r="G49" i="8"/>
  <c r="H88" i="8"/>
  <c r="F128" i="8"/>
  <c r="E138" i="8"/>
  <c r="F142" i="8"/>
  <c r="F156" i="8"/>
  <c r="E15" i="9"/>
  <c r="F36" i="9"/>
  <c r="H36" i="9"/>
  <c r="G52" i="9"/>
  <c r="F95" i="9"/>
  <c r="H95" i="9"/>
  <c r="G110" i="9"/>
  <c r="G118" i="9"/>
  <c r="H118" i="9"/>
  <c r="G126" i="9"/>
  <c r="F131" i="9"/>
  <c r="F139" i="9"/>
  <c r="G158" i="9"/>
  <c r="E16" i="9"/>
  <c r="E51" i="9"/>
  <c r="E13" i="9"/>
  <c r="F16" i="9"/>
  <c r="E21" i="9"/>
  <c r="H21" i="9"/>
  <c r="E26" i="9"/>
  <c r="F30" i="9"/>
  <c r="H30" i="9"/>
  <c r="E35" i="9"/>
  <c r="H35" i="9"/>
  <c r="F38" i="9"/>
  <c r="E43" i="9"/>
  <c r="H43" i="9"/>
  <c r="E48" i="9"/>
  <c r="F51" i="9"/>
  <c r="E57" i="9"/>
  <c r="F60" i="9"/>
  <c r="E65" i="9"/>
  <c r="F68" i="9"/>
  <c r="F74" i="9"/>
  <c r="H74" i="9"/>
  <c r="F76" i="9"/>
  <c r="H76" i="9"/>
  <c r="F78" i="9"/>
  <c r="H78" i="9"/>
  <c r="F80" i="9"/>
  <c r="H80" i="9"/>
  <c r="F82" i="9"/>
  <c r="H82" i="9"/>
  <c r="E84" i="9"/>
  <c r="H84" i="9"/>
  <c r="F92" i="9"/>
  <c r="H92" i="9"/>
  <c r="F94" i="9"/>
  <c r="H94" i="9"/>
  <c r="E96" i="9"/>
  <c r="H96" i="9"/>
  <c r="E101" i="9"/>
  <c r="H101" i="9"/>
  <c r="F108" i="9"/>
  <c r="H108" i="9"/>
  <c r="E114" i="9"/>
  <c r="F117" i="9"/>
  <c r="E122" i="9"/>
  <c r="F125" i="9"/>
  <c r="E130" i="9"/>
  <c r="F134" i="9"/>
  <c r="E141" i="9"/>
  <c r="F144" i="9"/>
  <c r="E149" i="9"/>
  <c r="F152" i="9"/>
  <c r="E157" i="9"/>
  <c r="E3" i="9"/>
  <c r="G6" i="9"/>
  <c r="H6" i="9"/>
  <c r="E8" i="9"/>
  <c r="H8" i="9"/>
  <c r="F13" i="9"/>
  <c r="E18" i="9"/>
  <c r="F26" i="9"/>
  <c r="G38" i="9"/>
  <c r="F48" i="9"/>
  <c r="F57" i="9"/>
  <c r="G60" i="9"/>
  <c r="F65" i="9"/>
  <c r="G68" i="9"/>
  <c r="E103" i="9"/>
  <c r="H103" i="9"/>
  <c r="F114" i="9"/>
  <c r="G117" i="9"/>
  <c r="F122" i="9"/>
  <c r="G125" i="9"/>
  <c r="E127" i="9"/>
  <c r="F130" i="9"/>
  <c r="G134" i="9"/>
  <c r="F141" i="9"/>
  <c r="G144" i="9"/>
  <c r="F149" i="9"/>
  <c r="G152" i="9"/>
  <c r="F157" i="9"/>
  <c r="E98" i="9"/>
  <c r="H98" i="9"/>
  <c r="E107" i="9"/>
  <c r="H107" i="9"/>
  <c r="F111" i="9"/>
  <c r="E116" i="9"/>
  <c r="H116" i="9"/>
  <c r="E124" i="9"/>
  <c r="H124" i="9"/>
  <c r="F127" i="9"/>
  <c r="E133" i="9"/>
  <c r="E143" i="9"/>
  <c r="E151" i="9"/>
  <c r="E159" i="9"/>
  <c r="E5" i="9"/>
  <c r="H5" i="9"/>
  <c r="E12" i="9"/>
  <c r="F15" i="9"/>
  <c r="E20" i="9"/>
  <c r="E25" i="9"/>
  <c r="F29" i="9"/>
  <c r="E34" i="9"/>
  <c r="F37" i="9"/>
  <c r="E42" i="9"/>
  <c r="E47" i="9"/>
  <c r="F50" i="9"/>
  <c r="E56" i="9"/>
  <c r="F59" i="9"/>
  <c r="E64" i="9"/>
  <c r="E73" i="9"/>
  <c r="H73" i="9"/>
  <c r="E75" i="9"/>
  <c r="H75" i="9"/>
  <c r="E77" i="9"/>
  <c r="H77" i="9"/>
  <c r="E79" i="9"/>
  <c r="H79" i="9"/>
  <c r="E81" i="9"/>
  <c r="H81" i="9"/>
  <c r="E83" i="9"/>
  <c r="E91" i="9"/>
  <c r="H91" i="9"/>
  <c r="E113" i="9"/>
  <c r="E121" i="9"/>
  <c r="E129" i="9"/>
  <c r="F133" i="9"/>
  <c r="E140" i="9"/>
  <c r="F143" i="9"/>
  <c r="E148" i="9"/>
  <c r="F151" i="9"/>
  <c r="E156" i="9"/>
  <c r="F159" i="9"/>
  <c r="F12" i="9"/>
  <c r="F20" i="9"/>
  <c r="F25" i="9"/>
  <c r="F34" i="9"/>
  <c r="F42" i="9"/>
  <c r="F47" i="9"/>
  <c r="F56" i="9"/>
  <c r="F64" i="9"/>
  <c r="F83" i="9"/>
  <c r="E110" i="9"/>
  <c r="F113" i="9"/>
  <c r="F121" i="9"/>
  <c r="E126" i="9"/>
  <c r="F129" i="9"/>
  <c r="E135" i="9"/>
  <c r="F140" i="9"/>
  <c r="F148" i="9"/>
  <c r="G6" i="8"/>
  <c r="E6" i="8"/>
  <c r="G38" i="8"/>
  <c r="E38" i="8"/>
  <c r="F38" i="8"/>
  <c r="G16" i="8"/>
  <c r="F16" i="8"/>
  <c r="E16" i="8"/>
  <c r="E30" i="8"/>
  <c r="F30" i="8"/>
  <c r="E51" i="8"/>
  <c r="G51" i="8"/>
  <c r="F51" i="8"/>
  <c r="E144" i="8"/>
  <c r="E152" i="8"/>
  <c r="E13" i="8"/>
  <c r="E21" i="8"/>
  <c r="H21" i="8"/>
  <c r="E26" i="8"/>
  <c r="E35" i="8"/>
  <c r="H35" i="8"/>
  <c r="E43" i="8"/>
  <c r="H43" i="8"/>
  <c r="E48" i="8"/>
  <c r="E57" i="8"/>
  <c r="F60" i="8"/>
  <c r="E65" i="8"/>
  <c r="F68" i="8"/>
  <c r="F74" i="8"/>
  <c r="H74" i="8"/>
  <c r="F76" i="8"/>
  <c r="H76" i="8"/>
  <c r="F78" i="8"/>
  <c r="H78" i="8"/>
  <c r="F80" i="8"/>
  <c r="H80" i="8"/>
  <c r="F82" i="8"/>
  <c r="H82" i="8"/>
  <c r="E84" i="8"/>
  <c r="H84" i="8"/>
  <c r="F92" i="8"/>
  <c r="H92" i="8"/>
  <c r="F94" i="8"/>
  <c r="H94" i="8"/>
  <c r="E96" i="8"/>
  <c r="H96" i="8"/>
  <c r="E101" i="8"/>
  <c r="H101" i="8"/>
  <c r="F108" i="8"/>
  <c r="H108" i="8"/>
  <c r="E114" i="8"/>
  <c r="F117" i="8"/>
  <c r="E122" i="8"/>
  <c r="F125" i="8"/>
  <c r="E130" i="8"/>
  <c r="F134" i="8"/>
  <c r="E141" i="8"/>
  <c r="F144" i="8"/>
  <c r="E149" i="8"/>
  <c r="F152" i="8"/>
  <c r="E157" i="8"/>
  <c r="E60" i="8"/>
  <c r="E3" i="8"/>
  <c r="H3" i="8"/>
  <c r="E8" i="8"/>
  <c r="H8" i="8"/>
  <c r="E10" i="8"/>
  <c r="F13" i="8"/>
  <c r="E18" i="8"/>
  <c r="E23" i="8"/>
  <c r="F26" i="8"/>
  <c r="E32" i="8"/>
  <c r="E40" i="8"/>
  <c r="H40" i="8"/>
  <c r="F48" i="8"/>
  <c r="E53" i="8"/>
  <c r="H53" i="8"/>
  <c r="F57" i="8"/>
  <c r="E62" i="8"/>
  <c r="F65" i="8"/>
  <c r="G68" i="8"/>
  <c r="E70" i="8"/>
  <c r="E103" i="8"/>
  <c r="H103" i="8"/>
  <c r="E105" i="8"/>
  <c r="H105" i="8"/>
  <c r="E111" i="8"/>
  <c r="F114" i="8"/>
  <c r="G117" i="8"/>
  <c r="E119" i="8"/>
  <c r="H119" i="8"/>
  <c r="F122" i="8"/>
  <c r="G125" i="8"/>
  <c r="E127" i="8"/>
  <c r="F130" i="8"/>
  <c r="G134" i="8"/>
  <c r="F141" i="8"/>
  <c r="F149" i="8"/>
  <c r="F157" i="8"/>
  <c r="E107" i="8"/>
  <c r="H107" i="8"/>
  <c r="E116" i="8"/>
  <c r="H116" i="8"/>
  <c r="E124" i="8"/>
  <c r="H124" i="8"/>
  <c r="F127" i="8"/>
  <c r="E133" i="8"/>
  <c r="E143" i="8"/>
  <c r="E151" i="8"/>
  <c r="E159" i="8"/>
  <c r="E5" i="8"/>
  <c r="H5" i="8"/>
  <c r="E12" i="8"/>
  <c r="E20" i="8"/>
  <c r="E25" i="8"/>
  <c r="E34" i="8"/>
  <c r="E42" i="8"/>
  <c r="E47" i="8"/>
  <c r="E56" i="8"/>
  <c r="E64" i="8"/>
  <c r="E73" i="8"/>
  <c r="H73" i="8"/>
  <c r="E75" i="8"/>
  <c r="H75" i="8"/>
  <c r="E77" i="8"/>
  <c r="H77" i="8"/>
  <c r="E79" i="8"/>
  <c r="H79" i="8"/>
  <c r="E81" i="8"/>
  <c r="H81" i="8"/>
  <c r="E83" i="8"/>
  <c r="E91" i="8"/>
  <c r="H91" i="8"/>
  <c r="E93" i="8"/>
  <c r="H93" i="8"/>
  <c r="E113" i="8"/>
  <c r="E121" i="8"/>
  <c r="E129" i="8"/>
  <c r="F133" i="8"/>
  <c r="E140" i="8"/>
  <c r="F143" i="8"/>
  <c r="E148" i="8"/>
  <c r="F151" i="8"/>
  <c r="E156" i="8"/>
  <c r="F159" i="8"/>
  <c r="F12" i="8"/>
  <c r="F20" i="8"/>
  <c r="F25" i="8"/>
  <c r="F34" i="8"/>
  <c r="F42" i="8"/>
  <c r="F47" i="8"/>
  <c r="F56" i="8"/>
  <c r="F64" i="8"/>
  <c r="F83" i="8"/>
  <c r="E110" i="8"/>
  <c r="F113" i="8"/>
  <c r="F121" i="8"/>
  <c r="E126" i="8"/>
  <c r="F129" i="8"/>
  <c r="E135" i="8"/>
  <c r="F140" i="8"/>
  <c r="F148" i="8"/>
  <c r="G60" i="7"/>
  <c r="F60" i="7"/>
  <c r="G68" i="7"/>
  <c r="F68" i="7"/>
  <c r="E60" i="7"/>
  <c r="E68" i="7"/>
  <c r="E76" i="7"/>
  <c r="F76" i="7"/>
  <c r="E82" i="7"/>
  <c r="F82" i="7"/>
  <c r="E94" i="7"/>
  <c r="F94" i="7"/>
  <c r="G26" i="7"/>
  <c r="F26" i="7"/>
  <c r="E26" i="7"/>
  <c r="E125" i="7"/>
  <c r="G125" i="7"/>
  <c r="F125" i="7"/>
  <c r="E144" i="7"/>
  <c r="G144" i="7"/>
  <c r="F144" i="7"/>
  <c r="G57" i="7"/>
  <c r="F57" i="7"/>
  <c r="E57" i="7"/>
  <c r="G65" i="7"/>
  <c r="F65" i="7"/>
  <c r="E65" i="7"/>
  <c r="E78" i="7"/>
  <c r="F78" i="7"/>
  <c r="E134" i="7"/>
  <c r="G134" i="7"/>
  <c r="F134" i="7"/>
  <c r="E152" i="7"/>
  <c r="G152" i="7"/>
  <c r="F152" i="7"/>
  <c r="G16" i="7"/>
  <c r="F16" i="7"/>
  <c r="F108" i="7"/>
  <c r="E108" i="7"/>
  <c r="G51" i="7"/>
  <c r="F51" i="7"/>
  <c r="G13" i="7"/>
  <c r="F13" i="7"/>
  <c r="E13" i="7"/>
  <c r="H67" i="7"/>
  <c r="E80" i="7"/>
  <c r="F80" i="7"/>
  <c r="E92" i="7"/>
  <c r="F92" i="7"/>
  <c r="E117" i="7"/>
  <c r="G117" i="7"/>
  <c r="F117" i="7"/>
  <c r="G35" i="7"/>
  <c r="E35" i="7"/>
  <c r="G21" i="7"/>
  <c r="E21" i="7"/>
  <c r="G38" i="7"/>
  <c r="F38" i="7"/>
  <c r="F43" i="7"/>
  <c r="E43" i="7"/>
  <c r="G48" i="7"/>
  <c r="F48" i="7"/>
  <c r="E48" i="7"/>
  <c r="E74" i="7"/>
  <c r="F74" i="7"/>
  <c r="E84" i="7"/>
  <c r="H84" i="7"/>
  <c r="E96" i="7"/>
  <c r="H96" i="7"/>
  <c r="E101" i="7"/>
  <c r="H101" i="7"/>
  <c r="E114" i="7"/>
  <c r="E122" i="7"/>
  <c r="E130" i="7"/>
  <c r="E141" i="7"/>
  <c r="E149" i="7"/>
  <c r="E157" i="7"/>
  <c r="F114" i="7"/>
  <c r="F122" i="7"/>
  <c r="F130" i="7"/>
  <c r="F141" i="7"/>
  <c r="F149" i="7"/>
  <c r="F157" i="7"/>
  <c r="E50" i="7"/>
  <c r="E59" i="7"/>
  <c r="E98" i="7"/>
  <c r="H98" i="7"/>
  <c r="E107" i="7"/>
  <c r="H107" i="7"/>
  <c r="F111" i="7"/>
  <c r="E116" i="7"/>
  <c r="H116" i="7"/>
  <c r="E124" i="7"/>
  <c r="H124" i="7"/>
  <c r="F127" i="7"/>
  <c r="E133" i="7"/>
  <c r="E143" i="7"/>
  <c r="E151" i="7"/>
  <c r="E159" i="7"/>
  <c r="E15" i="7"/>
  <c r="E29" i="7"/>
  <c r="E5" i="7"/>
  <c r="H5" i="7"/>
  <c r="E12" i="7"/>
  <c r="F15" i="7"/>
  <c r="E20" i="7"/>
  <c r="E25" i="7"/>
  <c r="F29" i="7"/>
  <c r="E34" i="7"/>
  <c r="F37" i="7"/>
  <c r="E42" i="7"/>
  <c r="E47" i="7"/>
  <c r="F50" i="7"/>
  <c r="E56" i="7"/>
  <c r="F59" i="7"/>
  <c r="E64" i="7"/>
  <c r="E73" i="7"/>
  <c r="H73" i="7"/>
  <c r="E75" i="7"/>
  <c r="H75" i="7"/>
  <c r="E77" i="7"/>
  <c r="H77" i="7"/>
  <c r="E83" i="7"/>
  <c r="E113" i="7"/>
  <c r="E121" i="7"/>
  <c r="E129" i="7"/>
  <c r="F133" i="7"/>
  <c r="E140" i="7"/>
  <c r="H140" i="7"/>
  <c r="F143" i="7"/>
  <c r="E148" i="7"/>
  <c r="F151" i="7"/>
  <c r="E156" i="7"/>
  <c r="F159" i="7"/>
  <c r="F20" i="7"/>
  <c r="F34" i="7"/>
  <c r="F42" i="7"/>
  <c r="F47" i="7"/>
  <c r="F56" i="7"/>
  <c r="F64" i="7"/>
  <c r="E135" i="7"/>
  <c r="F12" i="7"/>
  <c r="F25" i="7"/>
  <c r="H120" i="6"/>
  <c r="E16" i="6"/>
  <c r="E51" i="6"/>
  <c r="E117" i="6"/>
  <c r="E134" i="6"/>
  <c r="E13" i="6"/>
  <c r="F16" i="6"/>
  <c r="E26" i="6"/>
  <c r="F30" i="6"/>
  <c r="H30" i="6"/>
  <c r="E35" i="6"/>
  <c r="H35" i="6"/>
  <c r="F38" i="6"/>
  <c r="E43" i="6"/>
  <c r="H43" i="6"/>
  <c r="E48" i="6"/>
  <c r="F51" i="6"/>
  <c r="E57" i="6"/>
  <c r="F60" i="6"/>
  <c r="E65" i="6"/>
  <c r="F68" i="6"/>
  <c r="F74" i="6"/>
  <c r="H74" i="6"/>
  <c r="F76" i="6"/>
  <c r="H76" i="6"/>
  <c r="F78" i="6"/>
  <c r="H78" i="6"/>
  <c r="F80" i="6"/>
  <c r="H80" i="6"/>
  <c r="F82" i="6"/>
  <c r="H82" i="6"/>
  <c r="E84" i="6"/>
  <c r="H84" i="6"/>
  <c r="F92" i="6"/>
  <c r="H92" i="6"/>
  <c r="F94" i="6"/>
  <c r="H94" i="6"/>
  <c r="E96" i="6"/>
  <c r="H96" i="6"/>
  <c r="E101" i="6"/>
  <c r="H101" i="6"/>
  <c r="F108" i="6"/>
  <c r="H108" i="6"/>
  <c r="E114" i="6"/>
  <c r="F117" i="6"/>
  <c r="E122" i="6"/>
  <c r="F125" i="6"/>
  <c r="E130" i="6"/>
  <c r="F134" i="6"/>
  <c r="E141" i="6"/>
  <c r="F144" i="6"/>
  <c r="E149" i="6"/>
  <c r="F152" i="6"/>
  <c r="E157" i="6"/>
  <c r="E6" i="6"/>
  <c r="H6" i="6"/>
  <c r="E60" i="6"/>
  <c r="E144" i="6"/>
  <c r="E152" i="6"/>
  <c r="E21" i="6"/>
  <c r="H21" i="6"/>
  <c r="E3" i="6"/>
  <c r="E8" i="6"/>
  <c r="H8" i="6"/>
  <c r="E10" i="6"/>
  <c r="F13" i="6"/>
  <c r="E18" i="6"/>
  <c r="E23" i="6"/>
  <c r="F26" i="6"/>
  <c r="E32" i="6"/>
  <c r="G38" i="6"/>
  <c r="E40" i="6"/>
  <c r="H40" i="6"/>
  <c r="F48" i="6"/>
  <c r="E53" i="6"/>
  <c r="H53" i="6"/>
  <c r="F57" i="6"/>
  <c r="E62" i="6"/>
  <c r="F65" i="6"/>
  <c r="G68" i="6"/>
  <c r="E70" i="6"/>
  <c r="E103" i="6"/>
  <c r="H103" i="6"/>
  <c r="E105" i="6"/>
  <c r="H105" i="6"/>
  <c r="E111" i="6"/>
  <c r="F114" i="6"/>
  <c r="E119" i="6"/>
  <c r="H119" i="6"/>
  <c r="F122" i="6"/>
  <c r="G125" i="6"/>
  <c r="E127" i="6"/>
  <c r="F130" i="6"/>
  <c r="F141" i="6"/>
  <c r="F149" i="6"/>
  <c r="F157" i="6"/>
  <c r="E98" i="6"/>
  <c r="H98" i="6"/>
  <c r="E107" i="6"/>
  <c r="H107" i="6"/>
  <c r="F111" i="6"/>
  <c r="E124" i="6"/>
  <c r="H124" i="6"/>
  <c r="F127" i="6"/>
  <c r="E133" i="6"/>
  <c r="E143" i="6"/>
  <c r="E151" i="6"/>
  <c r="E159" i="6"/>
  <c r="E5" i="6"/>
  <c r="H5" i="6"/>
  <c r="E12" i="6"/>
  <c r="E20" i="6"/>
  <c r="E25" i="6"/>
  <c r="E34" i="6"/>
  <c r="E42" i="6"/>
  <c r="E47" i="6"/>
  <c r="E56" i="6"/>
  <c r="E64" i="6"/>
  <c r="E73" i="6"/>
  <c r="H73" i="6"/>
  <c r="E75" i="6"/>
  <c r="H75" i="6"/>
  <c r="E77" i="6"/>
  <c r="H77" i="6"/>
  <c r="E83" i="6"/>
  <c r="E113" i="6"/>
  <c r="E121" i="6"/>
  <c r="E129" i="6"/>
  <c r="F133" i="6"/>
  <c r="E140" i="6"/>
  <c r="F143" i="6"/>
  <c r="E148" i="6"/>
  <c r="F151" i="6"/>
  <c r="E156" i="6"/>
  <c r="F159" i="6"/>
  <c r="F12" i="6"/>
  <c r="F34" i="6"/>
  <c r="F42" i="6"/>
  <c r="F47" i="6"/>
  <c r="F56" i="6"/>
  <c r="F64" i="6"/>
  <c r="E135" i="6"/>
  <c r="F20" i="6"/>
  <c r="F25" i="6"/>
  <c r="H67" i="5"/>
  <c r="F4" i="5"/>
  <c r="E6" i="5"/>
  <c r="H6" i="5"/>
  <c r="F11" i="5"/>
  <c r="G14" i="5"/>
  <c r="E16" i="5"/>
  <c r="F19" i="5"/>
  <c r="G28" i="5"/>
  <c r="E30" i="5"/>
  <c r="H30" i="5"/>
  <c r="E38" i="5"/>
  <c r="G49" i="5"/>
  <c r="E51" i="5"/>
  <c r="G58" i="5"/>
  <c r="E60" i="5"/>
  <c r="E68" i="5"/>
  <c r="E74" i="5"/>
  <c r="H74" i="5"/>
  <c r="E76" i="5"/>
  <c r="H76" i="5"/>
  <c r="E78" i="5"/>
  <c r="H78" i="5"/>
  <c r="E80" i="5"/>
  <c r="H80" i="5"/>
  <c r="E82" i="5"/>
  <c r="H82" i="5"/>
  <c r="E92" i="5"/>
  <c r="H92" i="5"/>
  <c r="E94" i="5"/>
  <c r="H94" i="5"/>
  <c r="E108" i="5"/>
  <c r="H108" i="5"/>
  <c r="F112" i="5"/>
  <c r="G115" i="5"/>
  <c r="E117" i="5"/>
  <c r="F120" i="5"/>
  <c r="G123" i="5"/>
  <c r="E125" i="5"/>
  <c r="F128" i="5"/>
  <c r="G131" i="5"/>
  <c r="E134" i="5"/>
  <c r="F139" i="5"/>
  <c r="G142" i="5"/>
  <c r="E144" i="5"/>
  <c r="F147" i="5"/>
  <c r="G150" i="5"/>
  <c r="E152" i="5"/>
  <c r="F155" i="5"/>
  <c r="G158" i="5"/>
  <c r="H158" i="5"/>
  <c r="F38" i="5"/>
  <c r="F51" i="5"/>
  <c r="F60" i="5"/>
  <c r="F68" i="5"/>
  <c r="F117" i="5"/>
  <c r="F125" i="5"/>
  <c r="F134" i="5"/>
  <c r="F144" i="5"/>
  <c r="F152" i="5"/>
  <c r="F16" i="5"/>
  <c r="E3" i="5"/>
  <c r="E8" i="5"/>
  <c r="H8" i="5"/>
  <c r="E10" i="5"/>
  <c r="E18" i="5"/>
  <c r="E23" i="5"/>
  <c r="E32" i="5"/>
  <c r="E40" i="5"/>
  <c r="H40" i="5"/>
  <c r="E53" i="5"/>
  <c r="H53" i="5"/>
  <c r="E62" i="5"/>
  <c r="E70" i="5"/>
  <c r="E89" i="5"/>
  <c r="H89" i="5"/>
  <c r="E103" i="5"/>
  <c r="H103" i="5"/>
  <c r="E105" i="5"/>
  <c r="H105" i="5"/>
  <c r="E111" i="5"/>
  <c r="E119" i="5"/>
  <c r="H119" i="5"/>
  <c r="E127" i="5"/>
  <c r="E98" i="5"/>
  <c r="H98" i="5"/>
  <c r="E107" i="5"/>
  <c r="H107" i="5"/>
  <c r="F111" i="5"/>
  <c r="E116" i="5"/>
  <c r="H116" i="5"/>
  <c r="E124" i="5"/>
  <c r="H124" i="5"/>
  <c r="F127" i="5"/>
  <c r="E133" i="5"/>
  <c r="F138" i="5"/>
  <c r="E143" i="5"/>
  <c r="F146" i="5"/>
  <c r="E151" i="5"/>
  <c r="F154" i="5"/>
  <c r="E159" i="5"/>
  <c r="F3" i="5"/>
  <c r="F23" i="5"/>
  <c r="E5" i="5"/>
  <c r="H5" i="5"/>
  <c r="G10" i="5"/>
  <c r="E12" i="5"/>
  <c r="E20" i="5"/>
  <c r="E25" i="5"/>
  <c r="E34" i="5"/>
  <c r="E42" i="5"/>
  <c r="E47" i="5"/>
  <c r="E56" i="5"/>
  <c r="E64" i="5"/>
  <c r="E73" i="5"/>
  <c r="H73" i="5"/>
  <c r="E75" i="5"/>
  <c r="H75" i="5"/>
  <c r="E77" i="5"/>
  <c r="H77" i="5"/>
  <c r="F133" i="5"/>
  <c r="F143" i="5"/>
  <c r="F151" i="5"/>
  <c r="F159" i="5"/>
  <c r="F12" i="5"/>
  <c r="F20" i="5"/>
  <c r="F25" i="5"/>
  <c r="F34" i="5"/>
  <c r="F42" i="5"/>
  <c r="F47" i="5"/>
  <c r="F56" i="5"/>
  <c r="F64" i="5"/>
  <c r="G42" i="4"/>
  <c r="E63" i="4"/>
  <c r="F115" i="4"/>
  <c r="E128" i="4"/>
  <c r="G135" i="4"/>
  <c r="E139" i="4"/>
  <c r="F158" i="4"/>
  <c r="F24" i="4"/>
  <c r="F41" i="4"/>
  <c r="E51" i="4"/>
  <c r="F112" i="4"/>
  <c r="F128" i="4"/>
  <c r="E134" i="4"/>
  <c r="F139" i="4"/>
  <c r="E144" i="4"/>
  <c r="F51" i="4"/>
  <c r="E70" i="4"/>
  <c r="E119" i="4"/>
  <c r="H119" i="4" s="1"/>
  <c r="E127" i="4"/>
  <c r="E34" i="4"/>
  <c r="E93" i="4"/>
  <c r="F133" i="4"/>
  <c r="E156" i="4"/>
  <c r="E12" i="3"/>
  <c r="E48" i="3"/>
  <c r="J24" i="1"/>
  <c r="I24" i="1"/>
  <c r="H24" i="1"/>
  <c r="G24" i="1"/>
  <c r="E24" i="1"/>
  <c r="J23" i="1"/>
  <c r="I23" i="1"/>
  <c r="H23" i="1"/>
  <c r="G23" i="1"/>
  <c r="E23" i="1"/>
  <c r="J22" i="1"/>
  <c r="I22" i="1"/>
  <c r="H22" i="1"/>
  <c r="G22" i="1"/>
  <c r="E22" i="1"/>
  <c r="J21" i="1"/>
  <c r="I21" i="1"/>
  <c r="H21" i="1"/>
  <c r="G21" i="1"/>
  <c r="E21" i="1"/>
  <c r="J20" i="1"/>
  <c r="I20" i="1"/>
  <c r="H20" i="1"/>
  <c r="G20" i="1"/>
  <c r="E20" i="1"/>
  <c r="J19" i="1"/>
  <c r="I19" i="1"/>
  <c r="H19" i="1"/>
  <c r="G19" i="1"/>
  <c r="E19" i="1"/>
  <c r="J18" i="1"/>
  <c r="I18" i="1"/>
  <c r="H18" i="1"/>
  <c r="G18" i="1"/>
  <c r="E18" i="1"/>
  <c r="J17" i="1"/>
  <c r="I17" i="1"/>
  <c r="H17" i="1"/>
  <c r="G17" i="1"/>
  <c r="E17" i="1"/>
  <c r="I16" i="1"/>
  <c r="E16" i="1"/>
  <c r="E15" i="1"/>
  <c r="E14" i="1"/>
  <c r="G136" i="3"/>
  <c r="H136" i="3" s="1"/>
  <c r="E79" i="3"/>
  <c r="G4" i="3"/>
  <c r="G124" i="3"/>
  <c r="F119" i="3"/>
  <c r="F118" i="3"/>
  <c r="F116" i="3"/>
  <c r="G108" i="3"/>
  <c r="G107" i="3"/>
  <c r="G106" i="3"/>
  <c r="G101" i="3"/>
  <c r="G100" i="3"/>
  <c r="G97" i="3"/>
  <c r="G96" i="3"/>
  <c r="G95" i="3"/>
  <c r="G90" i="3"/>
  <c r="G89" i="3"/>
  <c r="G88" i="3"/>
  <c r="F88" i="3"/>
  <c r="G87" i="3"/>
  <c r="F87" i="3"/>
  <c r="G86" i="3"/>
  <c r="F86" i="3"/>
  <c r="G85" i="3"/>
  <c r="G84" i="3"/>
  <c r="H16" i="1"/>
  <c r="G16" i="1"/>
  <c r="G67" i="3"/>
  <c r="E67" i="3"/>
  <c r="G66" i="3"/>
  <c r="E66" i="3"/>
  <c r="F53" i="3"/>
  <c r="G45" i="3"/>
  <c r="F45" i="3"/>
  <c r="F44" i="3"/>
  <c r="F40" i="3"/>
  <c r="G36" i="3"/>
  <c r="F35" i="3"/>
  <c r="G30" i="3"/>
  <c r="F17" i="3"/>
  <c r="F8" i="3"/>
  <c r="F6" i="3"/>
  <c r="J16" i="1"/>
  <c r="H32" i="5"/>
  <c r="H155" i="5"/>
  <c r="H120" i="5"/>
  <c r="H19" i="5"/>
  <c r="H28" i="7"/>
  <c r="H18" i="6"/>
  <c r="H33" i="8"/>
  <c r="H146" i="8"/>
  <c r="H50" i="8"/>
  <c r="H99" i="7"/>
  <c r="H4" i="6"/>
  <c r="H115" i="9"/>
  <c r="H146" i="5"/>
  <c r="H19" i="7"/>
  <c r="H155" i="9"/>
  <c r="H2" i="6"/>
  <c r="H55" i="7"/>
  <c r="H139" i="6"/>
  <c r="H58" i="7"/>
  <c r="H28" i="8"/>
  <c r="H154" i="5"/>
  <c r="H37" i="7"/>
  <c r="H63" i="8"/>
  <c r="H50" i="5"/>
  <c r="H121" i="7"/>
  <c r="H18" i="7"/>
  <c r="H28" i="9"/>
  <c r="H55" i="8"/>
  <c r="H62" i="7"/>
  <c r="H15" i="5"/>
  <c r="H7" i="6"/>
  <c r="H55" i="9"/>
  <c r="H126" i="5"/>
  <c r="H31" i="6"/>
  <c r="H62" i="5"/>
  <c r="H112" i="8"/>
  <c r="H155" i="6"/>
  <c r="H22" i="8"/>
  <c r="H150" i="6"/>
  <c r="H156" i="6"/>
  <c r="H156" i="8"/>
  <c r="H128" i="6"/>
  <c r="H23" i="8"/>
  <c r="H18" i="8"/>
  <c r="H112" i="6"/>
  <c r="H52" i="5"/>
  <c r="H131" i="9"/>
  <c r="H113" i="6"/>
  <c r="H70" i="5"/>
  <c r="H11" i="5"/>
  <c r="H138" i="8"/>
  <c r="H12" i="8"/>
  <c r="H49" i="6"/>
  <c r="H146" i="9"/>
  <c r="H52" i="8"/>
  <c r="H70" i="6"/>
  <c r="H142" i="6"/>
  <c r="H126" i="6"/>
  <c r="H14" i="9"/>
  <c r="H29" i="8"/>
  <c r="H46" i="7"/>
  <c r="H55" i="6"/>
  <c r="H153" i="7"/>
  <c r="H18" i="5"/>
  <c r="H135" i="6"/>
  <c r="H31" i="8"/>
  <c r="H23" i="9"/>
  <c r="H46" i="6"/>
  <c r="H147" i="6"/>
  <c r="H147" i="5"/>
  <c r="H149" i="5"/>
  <c r="H26" i="5"/>
  <c r="H153" i="8"/>
  <c r="H63" i="6"/>
  <c r="H4" i="5"/>
  <c r="H10" i="6"/>
  <c r="H137" i="7"/>
  <c r="H32" i="9"/>
  <c r="H126" i="7"/>
  <c r="H31" i="7"/>
  <c r="H137" i="8"/>
  <c r="H120" i="7"/>
  <c r="H140" i="6"/>
  <c r="H10" i="9"/>
  <c r="H37" i="8"/>
  <c r="H37" i="6"/>
  <c r="H59" i="5"/>
  <c r="H138" i="7"/>
  <c r="H70" i="8"/>
  <c r="H62" i="6"/>
  <c r="H22" i="9"/>
  <c r="H32" i="8"/>
  <c r="H71" i="5"/>
  <c r="H146" i="7"/>
  <c r="H123" i="5"/>
  <c r="H21" i="7"/>
  <c r="H135" i="7"/>
  <c r="H83" i="7"/>
  <c r="H127" i="7"/>
  <c r="H14" i="7"/>
  <c r="H121" i="5"/>
  <c r="H63" i="9"/>
  <c r="H112" i="5"/>
  <c r="H148" i="6"/>
  <c r="H148" i="7"/>
  <c r="H4" i="9"/>
  <c r="H32" i="7"/>
  <c r="H150" i="8"/>
  <c r="H131" i="5"/>
  <c r="H3" i="6"/>
  <c r="H112" i="9"/>
  <c r="H2" i="8"/>
  <c r="H7" i="9"/>
  <c r="H22" i="7"/>
  <c r="H120" i="8"/>
  <c r="H24" i="8"/>
  <c r="H61" i="5"/>
  <c r="H135" i="5"/>
  <c r="H63" i="7"/>
  <c r="H150" i="9"/>
  <c r="H55" i="5"/>
  <c r="H71" i="7"/>
  <c r="H4" i="7"/>
  <c r="H14" i="5"/>
  <c r="H2" i="5"/>
  <c r="J48" i="1"/>
  <c r="J60" i="1"/>
  <c r="H145" i="7"/>
  <c r="H131" i="7"/>
  <c r="H39" i="7"/>
  <c r="H115" i="8"/>
  <c r="H10" i="8"/>
  <c r="H2" i="7"/>
  <c r="H110" i="7"/>
  <c r="H6" i="7"/>
  <c r="H52" i="7"/>
  <c r="H41" i="8"/>
  <c r="H129" i="5"/>
  <c r="H22" i="6"/>
  <c r="H33" i="7"/>
  <c r="H11" i="6"/>
  <c r="H33" i="9"/>
  <c r="H145" i="6"/>
  <c r="H33" i="6"/>
  <c r="H140" i="5"/>
  <c r="H52" i="6"/>
  <c r="H39" i="5"/>
  <c r="H150" i="7"/>
  <c r="H49" i="9"/>
  <c r="H147" i="8"/>
  <c r="H153" i="5"/>
  <c r="H48" i="5"/>
  <c r="H62" i="8"/>
  <c r="H113" i="5"/>
  <c r="H41" i="5"/>
  <c r="H13" i="5"/>
  <c r="H39" i="6"/>
  <c r="H137" i="5"/>
  <c r="H152" i="5"/>
  <c r="H156" i="7"/>
  <c r="H113" i="7"/>
  <c r="H16" i="7"/>
  <c r="H146" i="6"/>
  <c r="H62" i="9"/>
  <c r="H115" i="7"/>
  <c r="H58" i="8"/>
  <c r="H99" i="9"/>
  <c r="H65" i="5"/>
  <c r="H150" i="5"/>
  <c r="H138" i="9"/>
  <c r="H29" i="6"/>
  <c r="H31" i="5"/>
  <c r="H110" i="5"/>
  <c r="H145" i="9"/>
  <c r="H135" i="8"/>
  <c r="H153" i="9"/>
  <c r="H71" i="9"/>
  <c r="H138" i="5"/>
  <c r="H142" i="5"/>
  <c r="H22" i="5"/>
  <c r="H61" i="9"/>
  <c r="H139" i="5"/>
  <c r="H115" i="5"/>
  <c r="H99" i="8"/>
  <c r="H155" i="8"/>
  <c r="H11" i="8"/>
  <c r="H63" i="5"/>
  <c r="H145" i="5"/>
  <c r="H147" i="9"/>
  <c r="H19" i="8"/>
  <c r="H129" i="7"/>
  <c r="H37" i="9"/>
  <c r="H159" i="9"/>
  <c r="H70" i="9"/>
  <c r="H128" i="7"/>
  <c r="H83" i="5"/>
  <c r="H29" i="5"/>
  <c r="H69" i="9"/>
  <c r="H24" i="6"/>
  <c r="H19" i="9"/>
  <c r="H46" i="8"/>
  <c r="H139" i="7"/>
  <c r="H114" i="5"/>
  <c r="H129" i="6"/>
  <c r="H59" i="9"/>
  <c r="H60" i="9"/>
  <c r="H142" i="8"/>
  <c r="H138" i="6"/>
  <c r="H142" i="9"/>
  <c r="H33" i="5"/>
  <c r="H17" i="9"/>
  <c r="H14" i="8"/>
  <c r="H19" i="6"/>
  <c r="H4" i="8"/>
  <c r="H123" i="8"/>
  <c r="H25" i="5"/>
  <c r="H38" i="7"/>
  <c r="H130" i="5"/>
  <c r="H123" i="9"/>
  <c r="H61" i="8"/>
  <c r="H123" i="7"/>
  <c r="H28" i="5"/>
  <c r="H32" i="6"/>
  <c r="H48" i="7"/>
  <c r="H110" i="8"/>
  <c r="H111" i="8"/>
  <c r="H18" i="9"/>
  <c r="H49" i="7"/>
  <c r="H139" i="9"/>
  <c r="H2" i="9"/>
  <c r="H153" i="6"/>
  <c r="H148" i="5"/>
  <c r="H44" i="9"/>
  <c r="H41" i="7"/>
  <c r="H15" i="6"/>
  <c r="H64" i="6"/>
  <c r="H152" i="6"/>
  <c r="H117" i="6"/>
  <c r="H34" i="7"/>
  <c r="H15" i="7"/>
  <c r="H111" i="7"/>
  <c r="H111" i="9"/>
  <c r="H128" i="8"/>
  <c r="H145" i="8"/>
  <c r="H110" i="6"/>
  <c r="H154" i="8"/>
  <c r="H122" i="5"/>
  <c r="H69" i="5"/>
  <c r="H156" i="5"/>
  <c r="H68" i="8"/>
  <c r="H24" i="9"/>
  <c r="H60" i="8"/>
  <c r="H65" i="8"/>
  <c r="H52" i="9"/>
  <c r="H120" i="9"/>
  <c r="H71" i="6"/>
  <c r="H137" i="9"/>
  <c r="H41" i="6"/>
  <c r="H41" i="9"/>
  <c r="H47" i="8"/>
  <c r="H151" i="8"/>
  <c r="H117" i="9"/>
  <c r="H7" i="5"/>
  <c r="H50" i="9"/>
  <c r="H154" i="9"/>
  <c r="H11" i="9"/>
  <c r="H70" i="7"/>
  <c r="H131" i="6"/>
  <c r="H37" i="5"/>
  <c r="H39" i="8"/>
  <c r="H7" i="7"/>
  <c r="H126" i="8"/>
  <c r="H148" i="8"/>
  <c r="H158" i="9"/>
  <c r="H49" i="8"/>
  <c r="H10" i="7"/>
  <c r="H131" i="8"/>
  <c r="H154" i="7"/>
  <c r="H123" i="6"/>
  <c r="H24" i="7"/>
  <c r="H115" i="6"/>
  <c r="H24" i="5"/>
  <c r="H128" i="9"/>
  <c r="H59" i="6"/>
  <c r="H93" i="6"/>
  <c r="H60" i="5"/>
  <c r="H50" i="6"/>
  <c r="H100" i="6"/>
  <c r="H141" i="6"/>
  <c r="H114" i="7"/>
  <c r="H149" i="9"/>
  <c r="H142" i="7"/>
  <c r="H69" i="8"/>
  <c r="H97" i="6"/>
  <c r="H106" i="7"/>
  <c r="H12" i="5"/>
  <c r="H51" i="5"/>
  <c r="H38" i="6"/>
  <c r="H134" i="8"/>
  <c r="H13" i="9"/>
  <c r="H23" i="7"/>
  <c r="H61" i="7"/>
  <c r="H154" i="6"/>
  <c r="H15" i="8"/>
  <c r="H143" i="6"/>
  <c r="H68" i="7"/>
  <c r="H129" i="9"/>
  <c r="H134" i="9"/>
  <c r="H38" i="9"/>
  <c r="H85" i="6"/>
  <c r="H102" i="7"/>
  <c r="H30" i="8"/>
  <c r="H127" i="9"/>
  <c r="H68" i="9"/>
  <c r="H3" i="7"/>
  <c r="H61" i="6"/>
  <c r="H89" i="9"/>
  <c r="H128" i="5"/>
  <c r="H16" i="5"/>
  <c r="H83" i="6"/>
  <c r="H64" i="7"/>
  <c r="H159" i="7"/>
  <c r="H151" i="9"/>
  <c r="H28" i="6"/>
  <c r="H99" i="5"/>
  <c r="H151" i="5"/>
  <c r="H58" i="5"/>
  <c r="H125" i="7"/>
  <c r="H76" i="7"/>
  <c r="H121" i="8"/>
  <c r="H20" i="8"/>
  <c r="H127" i="8"/>
  <c r="H130" i="8"/>
  <c r="H135" i="9"/>
  <c r="H156" i="9"/>
  <c r="H29" i="9"/>
  <c r="H3" i="9"/>
  <c r="H125" i="9"/>
  <c r="H57" i="5"/>
  <c r="H49" i="5"/>
  <c r="H12" i="6"/>
  <c r="H125" i="6"/>
  <c r="H48" i="6"/>
  <c r="H134" i="6"/>
  <c r="H92" i="7"/>
  <c r="H134" i="7"/>
  <c r="H60" i="7"/>
  <c r="H6" i="8"/>
  <c r="H126" i="9"/>
  <c r="H152" i="9"/>
  <c r="H118" i="7"/>
  <c r="H69" i="6"/>
  <c r="H137" i="6"/>
  <c r="H99" i="6"/>
  <c r="H104" i="8"/>
  <c r="H14" i="6"/>
  <c r="H46" i="5"/>
  <c r="H158" i="8"/>
  <c r="H104" i="6"/>
  <c r="H125" i="8"/>
  <c r="H15" i="9"/>
  <c r="H31" i="9"/>
  <c r="H58" i="6"/>
  <c r="H58" i="9"/>
  <c r="H157" i="5"/>
  <c r="H59" i="8"/>
  <c r="H23" i="6"/>
  <c r="H51" i="6"/>
  <c r="H42" i="7"/>
  <c r="H130" i="7"/>
  <c r="H83" i="8"/>
  <c r="H117" i="8"/>
  <c r="H48" i="8"/>
  <c r="H16" i="8"/>
  <c r="H140" i="9"/>
  <c r="H47" i="9"/>
  <c r="H12" i="9"/>
  <c r="H144" i="9"/>
  <c r="H48" i="9"/>
  <c r="H79" i="7"/>
  <c r="H158" i="7"/>
  <c r="H69" i="7"/>
  <c r="H139" i="8"/>
  <c r="H116" i="6"/>
  <c r="H7" i="8"/>
  <c r="I15" i="1"/>
  <c r="H42" i="5"/>
  <c r="H111" i="5"/>
  <c r="H134" i="5"/>
  <c r="H121" i="6"/>
  <c r="H47" i="6"/>
  <c r="H151" i="6"/>
  <c r="H60" i="6"/>
  <c r="H130" i="6"/>
  <c r="H68" i="6"/>
  <c r="H16" i="6"/>
  <c r="H29" i="7"/>
  <c r="H122" i="7"/>
  <c r="H51" i="7"/>
  <c r="H42" i="8"/>
  <c r="H110" i="9"/>
  <c r="H42" i="9"/>
  <c r="H112" i="7"/>
  <c r="H71" i="8"/>
  <c r="H11" i="7"/>
  <c r="H147" i="7"/>
  <c r="H158" i="6"/>
  <c r="H100" i="8"/>
  <c r="H46" i="9"/>
  <c r="H141" i="9"/>
  <c r="H51" i="9"/>
  <c r="H16" i="9"/>
  <c r="H121" i="9"/>
  <c r="H34" i="9"/>
  <c r="H130" i="9"/>
  <c r="H113" i="9"/>
  <c r="H64" i="9"/>
  <c r="H143" i="9"/>
  <c r="H65" i="9"/>
  <c r="H25" i="9"/>
  <c r="H133" i="9"/>
  <c r="H157" i="9"/>
  <c r="H122" i="9"/>
  <c r="H26" i="9"/>
  <c r="H114" i="9"/>
  <c r="H148" i="9"/>
  <c r="H83" i="9"/>
  <c r="H56" i="9"/>
  <c r="H20" i="9"/>
  <c r="H57" i="9"/>
  <c r="H129" i="8"/>
  <c r="H25" i="8"/>
  <c r="H26" i="8"/>
  <c r="H38" i="8"/>
  <c r="H113" i="8"/>
  <c r="H13" i="8"/>
  <c r="H51" i="8"/>
  <c r="H64" i="8"/>
  <c r="H157" i="8"/>
  <c r="H122" i="8"/>
  <c r="H152" i="8"/>
  <c r="H56" i="8"/>
  <c r="H159" i="8"/>
  <c r="H57" i="8"/>
  <c r="H144" i="8"/>
  <c r="H149" i="8"/>
  <c r="H114" i="8"/>
  <c r="H140" i="8"/>
  <c r="H143" i="8"/>
  <c r="H34" i="8"/>
  <c r="H133" i="8"/>
  <c r="H141" i="8"/>
  <c r="H78" i="7"/>
  <c r="H94" i="7"/>
  <c r="H74" i="7"/>
  <c r="H25" i="7"/>
  <c r="H151" i="7"/>
  <c r="H117" i="7"/>
  <c r="H152" i="7"/>
  <c r="H65" i="7"/>
  <c r="H144" i="7"/>
  <c r="H26" i="7"/>
  <c r="H56" i="7"/>
  <c r="H20" i="7"/>
  <c r="H143" i="7"/>
  <c r="H59" i="7"/>
  <c r="H157" i="7"/>
  <c r="H82" i="7"/>
  <c r="H133" i="7"/>
  <c r="H50" i="7"/>
  <c r="H149" i="7"/>
  <c r="H43" i="7"/>
  <c r="H35" i="7"/>
  <c r="H108" i="7"/>
  <c r="H80" i="7"/>
  <c r="H47" i="7"/>
  <c r="H12" i="7"/>
  <c r="H141" i="7"/>
  <c r="H13" i="7"/>
  <c r="H57" i="7"/>
  <c r="H56" i="6"/>
  <c r="H159" i="6"/>
  <c r="H144" i="6"/>
  <c r="H42" i="6"/>
  <c r="H111" i="6"/>
  <c r="H65" i="6"/>
  <c r="H34" i="6"/>
  <c r="H133" i="6"/>
  <c r="H157" i="6"/>
  <c r="H122" i="6"/>
  <c r="H26" i="6"/>
  <c r="H25" i="6"/>
  <c r="H57" i="6"/>
  <c r="H20" i="6"/>
  <c r="H127" i="6"/>
  <c r="H149" i="6"/>
  <c r="H114" i="6"/>
  <c r="H13" i="6"/>
  <c r="H34" i="5"/>
  <c r="H159" i="5"/>
  <c r="H23" i="5"/>
  <c r="H68" i="5"/>
  <c r="H20" i="5"/>
  <c r="H10" i="5"/>
  <c r="H125" i="5"/>
  <c r="H64" i="5"/>
  <c r="H143" i="5"/>
  <c r="H3" i="5"/>
  <c r="H144" i="5"/>
  <c r="H56" i="5"/>
  <c r="H127" i="5"/>
  <c r="H117" i="5"/>
  <c r="H38" i="5"/>
  <c r="H47" i="5"/>
  <c r="H133" i="5"/>
  <c r="E24" i="3"/>
  <c r="G77" i="1"/>
  <c r="J77" i="1"/>
  <c r="H94" i="1"/>
  <c r="G94" i="1"/>
  <c r="J94" i="1"/>
  <c r="J111" i="1"/>
  <c r="G60" i="1"/>
  <c r="E98" i="3"/>
  <c r="H98" i="3" s="1"/>
  <c r="G153" i="3"/>
  <c r="G111" i="1"/>
  <c r="E149" i="3"/>
  <c r="G128" i="1"/>
  <c r="J128" i="1"/>
  <c r="I111" i="1"/>
  <c r="I60" i="1"/>
  <c r="I77" i="1"/>
  <c r="H77" i="1"/>
  <c r="I94" i="1"/>
  <c r="H111" i="1"/>
  <c r="E70" i="3"/>
  <c r="F112" i="3"/>
  <c r="F103" i="3"/>
  <c r="H60" i="1"/>
  <c r="I128" i="1"/>
  <c r="H128" i="1"/>
  <c r="H15" i="1"/>
  <c r="G15" i="1"/>
  <c r="J15" i="1"/>
  <c r="F144" i="3" l="1"/>
  <c r="E58" i="3"/>
  <c r="G37" i="3"/>
  <c r="F74" i="3"/>
  <c r="F145" i="3"/>
  <c r="F123" i="3"/>
  <c r="F107" i="3"/>
  <c r="G32" i="3"/>
  <c r="E106" i="3"/>
  <c r="H106" i="3" s="1"/>
  <c r="E33" i="3"/>
  <c r="G128" i="3"/>
  <c r="H106" i="4"/>
  <c r="H6" i="4"/>
  <c r="E148" i="4"/>
  <c r="E83" i="4"/>
  <c r="E111" i="4"/>
  <c r="H111" i="4" s="1"/>
  <c r="F155" i="4"/>
  <c r="H155" i="4" s="1"/>
  <c r="F123" i="4"/>
  <c r="E19" i="4"/>
  <c r="H19" i="4" s="1"/>
  <c r="E152" i="4"/>
  <c r="G26" i="4"/>
  <c r="H26" i="4" s="1"/>
  <c r="G130" i="4"/>
  <c r="G113" i="4"/>
  <c r="G13" i="4"/>
  <c r="H37" i="4"/>
  <c r="F74" i="4"/>
  <c r="F13" i="4"/>
  <c r="H13" i="4" s="1"/>
  <c r="G16" i="4"/>
  <c r="G19" i="4"/>
  <c r="G71" i="4"/>
  <c r="F79" i="4"/>
  <c r="H79" i="4" s="1"/>
  <c r="F81" i="4"/>
  <c r="F107" i="4"/>
  <c r="E110" i="4"/>
  <c r="G112" i="4"/>
  <c r="H112" i="4" s="1"/>
  <c r="G117" i="4"/>
  <c r="F124" i="4"/>
  <c r="H124" i="4" s="1"/>
  <c r="F130" i="4"/>
  <c r="G153" i="4"/>
  <c r="H134" i="4"/>
  <c r="H48" i="4"/>
  <c r="H130" i="4"/>
  <c r="E113" i="4"/>
  <c r="H113" i="4" s="1"/>
  <c r="E8" i="4"/>
  <c r="H8" i="4" s="1"/>
  <c r="E78" i="4"/>
  <c r="H78" i="4" s="1"/>
  <c r="E115" i="4"/>
  <c r="H115" i="4" s="1"/>
  <c r="F92" i="4"/>
  <c r="H92" i="4" s="1"/>
  <c r="G121" i="4"/>
  <c r="F117" i="4"/>
  <c r="F52" i="4"/>
  <c r="G52" i="4"/>
  <c r="E98" i="4"/>
  <c r="H98" i="4" s="1"/>
  <c r="G63" i="4"/>
  <c r="H63" i="4" s="1"/>
  <c r="F80" i="4"/>
  <c r="E58" i="4"/>
  <c r="H58" i="4" s="1"/>
  <c r="G58" i="4"/>
  <c r="G120" i="4"/>
  <c r="H120" i="4" s="1"/>
  <c r="F120" i="4"/>
  <c r="E149" i="4"/>
  <c r="H149" i="4" s="1"/>
  <c r="F149" i="4"/>
  <c r="G149" i="4"/>
  <c r="F156" i="4"/>
  <c r="G156" i="4"/>
  <c r="F31" i="4"/>
  <c r="G31" i="4"/>
  <c r="E31" i="4"/>
  <c r="H81" i="4"/>
  <c r="E11" i="4"/>
  <c r="F11" i="4"/>
  <c r="E17" i="4"/>
  <c r="H17" i="4" s="1"/>
  <c r="G17" i="4"/>
  <c r="G143" i="4"/>
  <c r="F143" i="4"/>
  <c r="G61" i="4"/>
  <c r="E61" i="4"/>
  <c r="G159" i="4"/>
  <c r="E159" i="4"/>
  <c r="H117" i="4"/>
  <c r="G146" i="4"/>
  <c r="E146" i="4"/>
  <c r="H146" i="4" s="1"/>
  <c r="H144" i="4"/>
  <c r="F58" i="4"/>
  <c r="G127" i="4"/>
  <c r="H127" i="4" s="1"/>
  <c r="F129" i="4"/>
  <c r="G129" i="4"/>
  <c r="E129" i="4"/>
  <c r="H129" i="4" s="1"/>
  <c r="G133" i="4"/>
  <c r="E133" i="4"/>
  <c r="H133" i="4" s="1"/>
  <c r="F140" i="4"/>
  <c r="E140" i="4"/>
  <c r="H140" i="4" s="1"/>
  <c r="E121" i="4"/>
  <c r="F38" i="4"/>
  <c r="H38" i="4" s="1"/>
  <c r="F71" i="4"/>
  <c r="F150" i="4"/>
  <c r="G110" i="4"/>
  <c r="H110" i="4" s="1"/>
  <c r="F32" i="4"/>
  <c r="H32" i="4" s="1"/>
  <c r="F137" i="4"/>
  <c r="F36" i="4"/>
  <c r="H36" i="4" s="1"/>
  <c r="H158" i="4"/>
  <c r="G157" i="4"/>
  <c r="H157" i="4" s="1"/>
  <c r="F49" i="4"/>
  <c r="H42" i="4"/>
  <c r="H93" i="4"/>
  <c r="H108" i="4"/>
  <c r="E138" i="4"/>
  <c r="H138" i="4" s="1"/>
  <c r="G47" i="4"/>
  <c r="E68" i="4"/>
  <c r="E30" i="4"/>
  <c r="H30" i="4" s="1"/>
  <c r="F142" i="4"/>
  <c r="H142" i="4" s="1"/>
  <c r="F3" i="4"/>
  <c r="H31" i="1" s="1"/>
  <c r="H43" i="1" s="1"/>
  <c r="H152" i="4"/>
  <c r="E153" i="4"/>
  <c r="G57" i="4"/>
  <c r="H57" i="4" s="1"/>
  <c r="E145" i="4"/>
  <c r="H145" i="4" s="1"/>
  <c r="F89" i="4"/>
  <c r="E118" i="4"/>
  <c r="H118" i="4" s="1"/>
  <c r="H51" i="4"/>
  <c r="H97" i="4"/>
  <c r="H49" i="4"/>
  <c r="F159" i="4"/>
  <c r="E91" i="4"/>
  <c r="H91" i="4" s="1"/>
  <c r="E3" i="4"/>
  <c r="G31" i="1" s="1"/>
  <c r="G43" i="1" s="1"/>
  <c r="G56" i="4"/>
  <c r="H139" i="4"/>
  <c r="E125" i="4"/>
  <c r="H125" i="4" s="1"/>
  <c r="G83" i="4"/>
  <c r="E147" i="4"/>
  <c r="E120" i="4"/>
  <c r="E24" i="4"/>
  <c r="H24" i="4" s="1"/>
  <c r="E150" i="4"/>
  <c r="H59" i="4"/>
  <c r="G141" i="4"/>
  <c r="F141" i="4"/>
  <c r="H123" i="4"/>
  <c r="G69" i="4"/>
  <c r="F14" i="4"/>
  <c r="H14" i="4" s="1"/>
  <c r="E151" i="4"/>
  <c r="G11" i="4"/>
  <c r="H11" i="4" s="1"/>
  <c r="F69" i="4"/>
  <c r="H69" i="4" s="1"/>
  <c r="G147" i="4"/>
  <c r="I43" i="1"/>
  <c r="G4" i="4"/>
  <c r="G33" i="4"/>
  <c r="F56" i="4"/>
  <c r="H74" i="4"/>
  <c r="H80" i="4"/>
  <c r="F95" i="4"/>
  <c r="H95" i="4" s="1"/>
  <c r="H121" i="4"/>
  <c r="G151" i="4"/>
  <c r="H128" i="4"/>
  <c r="H137" i="4"/>
  <c r="H21" i="4"/>
  <c r="H148" i="4"/>
  <c r="H50" i="4"/>
  <c r="H101" i="4"/>
  <c r="G126" i="4"/>
  <c r="H71" i="4"/>
  <c r="F126" i="4"/>
  <c r="E43" i="4"/>
  <c r="H43" i="4" s="1"/>
  <c r="F154" i="4"/>
  <c r="E154" i="4"/>
  <c r="H39" i="4"/>
  <c r="H22" i="4"/>
  <c r="F135" i="4"/>
  <c r="H135" i="4" s="1"/>
  <c r="F105" i="4"/>
  <c r="H105" i="4" s="1"/>
  <c r="F138" i="4"/>
  <c r="F29" i="4"/>
  <c r="H29" i="4" s="1"/>
  <c r="F122" i="4"/>
  <c r="E122" i="4"/>
  <c r="H122" i="4" s="1"/>
  <c r="H102" i="4"/>
  <c r="H89" i="4"/>
  <c r="E96" i="4"/>
  <c r="H96" i="4" s="1"/>
  <c r="F12" i="4"/>
  <c r="E12" i="4"/>
  <c r="F28" i="4"/>
  <c r="E28" i="4"/>
  <c r="G62" i="4"/>
  <c r="E62" i="4"/>
  <c r="G65" i="4"/>
  <c r="E65" i="4"/>
  <c r="H156" i="4"/>
  <c r="E25" i="4"/>
  <c r="E23" i="4"/>
  <c r="G20" i="4"/>
  <c r="G12" i="4"/>
  <c r="F99" i="4"/>
  <c r="H107" i="4"/>
  <c r="F23" i="4"/>
  <c r="F103" i="4"/>
  <c r="H103" i="4" s="1"/>
  <c r="F18" i="4"/>
  <c r="G18" i="4"/>
  <c r="G40" i="4"/>
  <c r="H40" i="4" s="1"/>
  <c r="E46" i="4"/>
  <c r="F46" i="4"/>
  <c r="F77" i="4"/>
  <c r="E77" i="4"/>
  <c r="E104" i="4"/>
  <c r="F104" i="4"/>
  <c r="E20" i="4"/>
  <c r="H20" i="4" s="1"/>
  <c r="E53" i="4"/>
  <c r="H53" i="4" s="1"/>
  <c r="F60" i="4"/>
  <c r="E76" i="4"/>
  <c r="H76" i="4" s="1"/>
  <c r="E60" i="4"/>
  <c r="E33" i="4"/>
  <c r="E99" i="4"/>
  <c r="E55" i="4"/>
  <c r="F62" i="4"/>
  <c r="F114" i="4"/>
  <c r="F84" i="4"/>
  <c r="H84" i="4" s="1"/>
  <c r="F15" i="4"/>
  <c r="F82" i="4"/>
  <c r="H82" i="4" s="1"/>
  <c r="G44" i="4"/>
  <c r="H44" i="4" s="1"/>
  <c r="G114" i="4"/>
  <c r="H114" i="4" s="1"/>
  <c r="E2" i="4"/>
  <c r="F2" i="4"/>
  <c r="F10" i="4"/>
  <c r="E10" i="4"/>
  <c r="F34" i="4"/>
  <c r="G34" i="4"/>
  <c r="E5" i="4"/>
  <c r="H5" i="4" s="1"/>
  <c r="E100" i="4"/>
  <c r="H100" i="4" s="1"/>
  <c r="E75" i="4"/>
  <c r="H75" i="4" s="1"/>
  <c r="E47" i="4"/>
  <c r="H47" i="4" s="1"/>
  <c r="F16" i="4"/>
  <c r="H16" i="4" s="1"/>
  <c r="F55" i="4"/>
  <c r="E4" i="4"/>
  <c r="E41" i="4"/>
  <c r="H41" i="4" s="1"/>
  <c r="G25" i="4"/>
  <c r="F70" i="4"/>
  <c r="H70" i="4" s="1"/>
  <c r="G7" i="4"/>
  <c r="E35" i="4"/>
  <c r="H35" i="4" s="1"/>
  <c r="E7" i="4"/>
  <c r="G15" i="4"/>
  <c r="G68" i="4"/>
  <c r="G28" i="4"/>
  <c r="F64" i="4"/>
  <c r="G64" i="4"/>
  <c r="F73" i="4"/>
  <c r="H73" i="4" s="1"/>
  <c r="F90" i="4"/>
  <c r="E90" i="4"/>
  <c r="F99" i="3"/>
  <c r="E95" i="3"/>
  <c r="H95" i="3" s="1"/>
  <c r="F58" i="3"/>
  <c r="H58" i="3" s="1"/>
  <c r="G99" i="3"/>
  <c r="F70" i="3"/>
  <c r="E75" i="3"/>
  <c r="H75" i="3" s="1"/>
  <c r="E141" i="3"/>
  <c r="G145" i="3"/>
  <c r="F137" i="3"/>
  <c r="F133" i="3"/>
  <c r="E20" i="3"/>
  <c r="G20" i="3"/>
  <c r="F29" i="3"/>
  <c r="H29" i="3" s="1"/>
  <c r="E53" i="3"/>
  <c r="H53" i="3" s="1"/>
  <c r="E133" i="3"/>
  <c r="H133" i="3" s="1"/>
  <c r="F157" i="3"/>
  <c r="E83" i="3"/>
  <c r="G62" i="3"/>
  <c r="E8" i="3"/>
  <c r="H8" i="3" s="1"/>
  <c r="E91" i="3"/>
  <c r="H91" i="3" s="1"/>
  <c r="G49" i="3"/>
  <c r="E4" i="3"/>
  <c r="G137" i="3"/>
  <c r="F128" i="3"/>
  <c r="H128" i="3" s="1"/>
  <c r="E153" i="3"/>
  <c r="H153" i="3" s="1"/>
  <c r="F37" i="3"/>
  <c r="G33" i="3"/>
  <c r="E112" i="3"/>
  <c r="H112" i="3" s="1"/>
  <c r="G116" i="3"/>
  <c r="H116" i="3" s="1"/>
  <c r="G29" i="3"/>
  <c r="F16" i="3"/>
  <c r="E41" i="3"/>
  <c r="F124" i="3"/>
  <c r="I9" i="10"/>
  <c r="R27" i="3"/>
  <c r="S28" i="3"/>
  <c r="R28" i="3"/>
  <c r="S26" i="3"/>
  <c r="R26" i="3"/>
  <c r="V28" i="3"/>
  <c r="W28" i="3"/>
  <c r="V26" i="3"/>
  <c r="W26" i="3"/>
  <c r="G57" i="3"/>
  <c r="E123" i="3"/>
  <c r="E140" i="3"/>
  <c r="E115" i="3"/>
  <c r="F135" i="3"/>
  <c r="F36" i="3"/>
  <c r="H36" i="3" s="1"/>
  <c r="E65" i="3"/>
  <c r="E18" i="3"/>
  <c r="E139" i="3"/>
  <c r="H70" i="3"/>
  <c r="E43" i="3"/>
  <c r="H43" i="3" s="1"/>
  <c r="E148" i="3"/>
  <c r="E119" i="3"/>
  <c r="H119" i="3" s="1"/>
  <c r="G69" i="3"/>
  <c r="H4" i="3"/>
  <c r="F101" i="3"/>
  <c r="H101" i="3" s="1"/>
  <c r="F61" i="3"/>
  <c r="F39" i="3"/>
  <c r="G7" i="3"/>
  <c r="F89" i="3"/>
  <c r="H89" i="3" s="1"/>
  <c r="E28" i="3"/>
  <c r="F102" i="3"/>
  <c r="H102" i="3" s="1"/>
  <c r="E25" i="3"/>
  <c r="E108" i="3"/>
  <c r="H108" i="3" s="1"/>
  <c r="G39" i="3"/>
  <c r="H39" i="3" s="1"/>
  <c r="G6" i="3"/>
  <c r="H6" i="3" s="1"/>
  <c r="F50" i="3"/>
  <c r="G48" i="3"/>
  <c r="H48" i="3" s="1"/>
  <c r="G18" i="3"/>
  <c r="F57" i="3"/>
  <c r="F28" i="3"/>
  <c r="E22" i="3"/>
  <c r="E64" i="3"/>
  <c r="F127" i="3"/>
  <c r="E105" i="3"/>
  <c r="H105" i="3" s="1"/>
  <c r="G144" i="3"/>
  <c r="H144" i="3" s="1"/>
  <c r="G11" i="3"/>
  <c r="E40" i="3"/>
  <c r="H40" i="3" s="1"/>
  <c r="E114" i="3"/>
  <c r="E156" i="3"/>
  <c r="F113" i="3"/>
  <c r="F76" i="3"/>
  <c r="H76" i="3" s="1"/>
  <c r="G134" i="3"/>
  <c r="F96" i="3"/>
  <c r="H96" i="3" s="1"/>
  <c r="F92" i="3"/>
  <c r="H92" i="3" s="1"/>
  <c r="F147" i="3"/>
  <c r="E122" i="3"/>
  <c r="E10" i="3"/>
  <c r="G31" i="3"/>
  <c r="F110" i="3"/>
  <c r="F68" i="3"/>
  <c r="F151" i="3"/>
  <c r="F30" i="3"/>
  <c r="E151" i="3"/>
  <c r="G147" i="3"/>
  <c r="G122" i="3"/>
  <c r="G5" i="3"/>
  <c r="H5" i="3" s="1"/>
  <c r="E61" i="3"/>
  <c r="G26" i="3"/>
  <c r="E32" i="3"/>
  <c r="G146" i="3"/>
  <c r="G115" i="3"/>
  <c r="F82" i="3"/>
  <c r="H82" i="3" s="1"/>
  <c r="F73" i="3"/>
  <c r="H73" i="3" s="1"/>
  <c r="F11" i="3"/>
  <c r="G140" i="3"/>
  <c r="F2" i="3"/>
  <c r="E81" i="3"/>
  <c r="H81" i="3" s="1"/>
  <c r="G156" i="3"/>
  <c r="G3" i="3"/>
  <c r="I14" i="1" s="1"/>
  <c r="I26" i="1" s="1"/>
  <c r="E17" i="3"/>
  <c r="H17" i="3" s="1"/>
  <c r="F31" i="3"/>
  <c r="G64" i="3"/>
  <c r="G111" i="3"/>
  <c r="F59" i="3"/>
  <c r="G59" i="3"/>
  <c r="F63" i="3"/>
  <c r="G63" i="3"/>
  <c r="E71" i="3"/>
  <c r="F71" i="3"/>
  <c r="G117" i="3"/>
  <c r="E117" i="3"/>
  <c r="E121" i="3"/>
  <c r="G121" i="3"/>
  <c r="E138" i="3"/>
  <c r="G138" i="3"/>
  <c r="G142" i="3"/>
  <c r="F142" i="3"/>
  <c r="G150" i="3"/>
  <c r="F150" i="3"/>
  <c r="F158" i="3"/>
  <c r="E84" i="3"/>
  <c r="H84" i="3" s="1"/>
  <c r="F129" i="3"/>
  <c r="F117" i="3"/>
  <c r="F138" i="3"/>
  <c r="F25" i="3"/>
  <c r="E38" i="3"/>
  <c r="G21" i="3"/>
  <c r="H21" i="3" s="1"/>
  <c r="E50" i="3"/>
  <c r="G154" i="3"/>
  <c r="G14" i="3"/>
  <c r="F14" i="3"/>
  <c r="G51" i="3"/>
  <c r="F51" i="3"/>
  <c r="F60" i="3"/>
  <c r="E60" i="3"/>
  <c r="E77" i="3"/>
  <c r="F77" i="3"/>
  <c r="E85" i="3"/>
  <c r="F85" i="3"/>
  <c r="F143" i="3"/>
  <c r="G143" i="3"/>
  <c r="F159" i="3"/>
  <c r="G159" i="3"/>
  <c r="E129" i="3"/>
  <c r="F155" i="3"/>
  <c r="F139" i="3"/>
  <c r="G135" i="3"/>
  <c r="E118" i="3"/>
  <c r="H118" i="3" s="1"/>
  <c r="F80" i="3"/>
  <c r="H80" i="3" s="1"/>
  <c r="F10" i="3"/>
  <c r="E142" i="3"/>
  <c r="F125" i="3"/>
  <c r="E35" i="3"/>
  <c r="H35" i="3" s="1"/>
  <c r="F26" i="3"/>
  <c r="E154" i="3"/>
  <c r="G56" i="3"/>
  <c r="G38" i="3"/>
  <c r="E93" i="3"/>
  <c r="H93" i="3" s="1"/>
  <c r="F114" i="3"/>
  <c r="G2" i="3"/>
  <c r="E130" i="3"/>
  <c r="E158" i="3"/>
  <c r="E126" i="3"/>
  <c r="F47" i="3"/>
  <c r="E155" i="3"/>
  <c r="F130" i="3"/>
  <c r="G71" i="3"/>
  <c r="F134" i="3"/>
  <c r="G125" i="3"/>
  <c r="G47" i="3"/>
  <c r="G22" i="3"/>
  <c r="E14" i="3"/>
  <c r="G113" i="3"/>
  <c r="F126" i="3"/>
  <c r="E146" i="3"/>
  <c r="E34" i="3"/>
  <c r="F34" i="3"/>
  <c r="H74" i="3"/>
  <c r="E56" i="3"/>
  <c r="E104" i="3"/>
  <c r="H104" i="3" s="1"/>
  <c r="E68" i="3"/>
  <c r="E97" i="3"/>
  <c r="H97" i="3" s="1"/>
  <c r="E100" i="3"/>
  <c r="H100" i="3" s="1"/>
  <c r="G110" i="3"/>
  <c r="F15" i="3"/>
  <c r="E111" i="3"/>
  <c r="E7" i="3"/>
  <c r="F90" i="3"/>
  <c r="H90" i="3" s="1"/>
  <c r="H124" i="3"/>
  <c r="H79" i="3"/>
  <c r="G14" i="1"/>
  <c r="G26" i="1" s="1"/>
  <c r="F4" i="1" s="1"/>
  <c r="G19" i="3"/>
  <c r="F65" i="3"/>
  <c r="F52" i="3"/>
  <c r="G23" i="3"/>
  <c r="F78" i="3"/>
  <c r="H78" i="3" s="1"/>
  <c r="F3" i="3"/>
  <c r="G127" i="3"/>
  <c r="G152" i="3"/>
  <c r="E131" i="3"/>
  <c r="E23" i="3"/>
  <c r="F152" i="3"/>
  <c r="H103" i="3"/>
  <c r="H107" i="3"/>
  <c r="F120" i="3"/>
  <c r="G120" i="3"/>
  <c r="E62" i="3"/>
  <c r="E44" i="3"/>
  <c r="H44" i="3" s="1"/>
  <c r="E19" i="3"/>
  <c r="G83" i="3"/>
  <c r="G52" i="3"/>
  <c r="F49" i="3"/>
  <c r="E15" i="3"/>
  <c r="F149" i="3"/>
  <c r="H149" i="3" s="1"/>
  <c r="F94" i="3"/>
  <c r="H94" i="3" s="1"/>
  <c r="G131" i="3"/>
  <c r="G41" i="3"/>
  <c r="F24" i="3"/>
  <c r="H24" i="3" s="1"/>
  <c r="G157" i="3"/>
  <c r="G12" i="3"/>
  <c r="H12" i="3" s="1"/>
  <c r="E16" i="3"/>
  <c r="F69" i="3"/>
  <c r="G141" i="3"/>
  <c r="F148" i="3"/>
  <c r="G13" i="3"/>
  <c r="E13" i="3"/>
  <c r="F13" i="3"/>
  <c r="F42" i="3"/>
  <c r="E42" i="3"/>
  <c r="E46" i="3"/>
  <c r="F46" i="3"/>
  <c r="F55" i="3"/>
  <c r="G55" i="3"/>
  <c r="S27" i="3"/>
  <c r="W27" i="3"/>
  <c r="E7" i="10" s="1"/>
  <c r="H5" i="1" s="1"/>
  <c r="V27" i="3"/>
  <c r="E6" i="10" s="1"/>
  <c r="H4" i="1" s="1"/>
  <c r="H145" i="3" l="1"/>
  <c r="H69" i="3"/>
  <c r="H83" i="3"/>
  <c r="H152" i="3"/>
  <c r="H42" i="3"/>
  <c r="H16" i="3"/>
  <c r="H135" i="3"/>
  <c r="H25" i="3"/>
  <c r="H32" i="3"/>
  <c r="H37" i="3"/>
  <c r="H33" i="3"/>
  <c r="H123" i="3"/>
  <c r="H140" i="3"/>
  <c r="H99" i="3"/>
  <c r="H49" i="3"/>
  <c r="H137" i="3"/>
  <c r="H20" i="3"/>
  <c r="H68" i="4"/>
  <c r="H4" i="4"/>
  <c r="H34" i="4"/>
  <c r="H15" i="4"/>
  <c r="H18" i="4"/>
  <c r="H151" i="4"/>
  <c r="H141" i="4"/>
  <c r="H150" i="4"/>
  <c r="H83" i="4"/>
  <c r="H143" i="4"/>
  <c r="H52" i="4"/>
  <c r="H56" i="4"/>
  <c r="H147" i="4"/>
  <c r="H126" i="4"/>
  <c r="H153" i="4"/>
  <c r="H7" i="4"/>
  <c r="H3" i="4"/>
  <c r="J31" i="1" s="1"/>
  <c r="J43" i="1" s="1"/>
  <c r="H61" i="4"/>
  <c r="H31" i="4"/>
  <c r="F6" i="1"/>
  <c r="H65" i="4"/>
  <c r="H159" i="4"/>
  <c r="H90" i="4"/>
  <c r="H64" i="4"/>
  <c r="H60" i="4"/>
  <c r="H23" i="4"/>
  <c r="H154" i="4"/>
  <c r="H33" i="4"/>
  <c r="H2" i="4"/>
  <c r="H55" i="4"/>
  <c r="H25" i="4"/>
  <c r="H10" i="4"/>
  <c r="H99" i="4"/>
  <c r="H104" i="4"/>
  <c r="H46" i="4"/>
  <c r="H28" i="4"/>
  <c r="H77" i="4"/>
  <c r="H62" i="4"/>
  <c r="H12" i="4"/>
  <c r="H41" i="3"/>
  <c r="H127" i="3"/>
  <c r="H57" i="3"/>
  <c r="H148" i="3"/>
  <c r="H141" i="3"/>
  <c r="H157" i="3"/>
  <c r="H62" i="3"/>
  <c r="H14" i="1"/>
  <c r="H26" i="1" s="1"/>
  <c r="F5" i="1" s="1"/>
  <c r="G5" i="1" s="1"/>
  <c r="H146" i="3"/>
  <c r="H22" i="3"/>
  <c r="H114" i="3"/>
  <c r="H63" i="3"/>
  <c r="H18" i="3"/>
  <c r="H115" i="3"/>
  <c r="H28" i="3"/>
  <c r="H121" i="3"/>
  <c r="H31" i="3"/>
  <c r="H65" i="3"/>
  <c r="H111" i="3"/>
  <c r="H158" i="3"/>
  <c r="H77" i="3"/>
  <c r="H11" i="3"/>
  <c r="H7" i="3"/>
  <c r="H139" i="3"/>
  <c r="H155" i="3"/>
  <c r="H61" i="3"/>
  <c r="H2" i="3"/>
  <c r="H26" i="3"/>
  <c r="H147" i="3"/>
  <c r="H113" i="3"/>
  <c r="H10" i="3"/>
  <c r="H64" i="3"/>
  <c r="H52" i="3"/>
  <c r="H68" i="3"/>
  <c r="H3" i="3"/>
  <c r="H110" i="3"/>
  <c r="H134" i="3"/>
  <c r="H47" i="3"/>
  <c r="H154" i="3"/>
  <c r="H129" i="3"/>
  <c r="H50" i="3"/>
  <c r="H159" i="3"/>
  <c r="H156" i="3"/>
  <c r="H34" i="3"/>
  <c r="H38" i="3"/>
  <c r="H122" i="3"/>
  <c r="H85" i="3"/>
  <c r="H60" i="3"/>
  <c r="H151" i="3"/>
  <c r="H30" i="3"/>
  <c r="H138" i="3"/>
  <c r="H130" i="3"/>
  <c r="H51" i="3"/>
  <c r="H131" i="3"/>
  <c r="H14" i="3"/>
  <c r="H125" i="3"/>
  <c r="H15" i="3"/>
  <c r="H56" i="3"/>
  <c r="H126" i="3"/>
  <c r="H142" i="3"/>
  <c r="H143" i="3"/>
  <c r="H150" i="3"/>
  <c r="H117" i="3"/>
  <c r="H71" i="3"/>
  <c r="H59" i="3"/>
  <c r="G4" i="1"/>
  <c r="O4" i="1" s="1"/>
  <c r="H55" i="3"/>
  <c r="H19" i="3"/>
  <c r="H120" i="3"/>
  <c r="H46" i="3"/>
  <c r="H13" i="3"/>
  <c r="H23" i="3"/>
  <c r="F7" i="1" l="1"/>
  <c r="J14" i="1"/>
  <c r="J26" i="1" s="1"/>
  <c r="B15" i="10"/>
  <c r="F7" i="10"/>
  <c r="F62" i="10"/>
  <c r="F55" i="10" s="1"/>
  <c r="G40" i="10"/>
  <c r="B14" i="10"/>
  <c r="B12" i="10"/>
  <c r="B13" i="10"/>
  <c r="B11" i="10"/>
  <c r="R38" i="3" s="1"/>
  <c r="F56" i="10" l="1"/>
  <c r="F6" i="10"/>
  <c r="F5" i="10" s="1"/>
  <c r="E5" i="10" s="1"/>
  <c r="H6" i="1" s="1"/>
  <c r="H7" i="1" s="1"/>
  <c r="G7" i="1" s="1"/>
  <c r="G39" i="10"/>
  <c r="F53" i="10"/>
  <c r="G36" i="10"/>
  <c r="G33" i="10"/>
  <c r="G45" i="10"/>
  <c r="F47" i="10"/>
  <c r="F39" i="10" s="1"/>
  <c r="G41" i="10"/>
  <c r="G38" i="10"/>
  <c r="G35" i="10"/>
  <c r="G42" i="10"/>
  <c r="F58" i="10"/>
  <c r="F50" i="10"/>
  <c r="F52" i="10"/>
  <c r="F60" i="10"/>
  <c r="F54" i="10"/>
  <c r="F51" i="10"/>
  <c r="G37" i="10"/>
  <c r="G34" i="10"/>
  <c r="G32" i="10"/>
  <c r="G44" i="10"/>
  <c r="G31" i="10"/>
  <c r="G29" i="10"/>
  <c r="G43" i="10"/>
  <c r="G30" i="10"/>
  <c r="G28" i="10"/>
  <c r="F59" i="10"/>
  <c r="F57" i="10"/>
  <c r="G6" i="1" l="1"/>
  <c r="F31" i="10"/>
  <c r="F30" i="10"/>
  <c r="F35" i="10"/>
  <c r="F28" i="10"/>
  <c r="F36" i="10"/>
  <c r="F44" i="10"/>
  <c r="F40" i="10"/>
  <c r="F32" i="10"/>
  <c r="F43" i="10"/>
  <c r="F42" i="10"/>
  <c r="F45" i="10"/>
  <c r="F34" i="10"/>
  <c r="F38" i="10"/>
  <c r="F33" i="10"/>
  <c r="F41" i="10"/>
  <c r="F29" i="10"/>
  <c r="F37" i="10"/>
  <c r="F10" i="10"/>
  <c r="F8" i="10"/>
  <c r="F88" i="10"/>
  <c r="F25" i="10"/>
  <c r="F73" i="10"/>
  <c r="F67" i="10" l="1"/>
  <c r="F71" i="10"/>
  <c r="F68" i="10"/>
  <c r="F70" i="10"/>
  <c r="F69" i="10"/>
  <c r="F65" i="10"/>
  <c r="F66" i="10"/>
  <c r="F19" i="10"/>
  <c r="F13" i="10"/>
  <c r="F20" i="10"/>
  <c r="F15" i="10"/>
  <c r="F21" i="10"/>
  <c r="F16" i="10"/>
  <c r="F22" i="10"/>
  <c r="F17" i="10"/>
  <c r="F23" i="10"/>
  <c r="F18" i="10"/>
  <c r="F14" i="10"/>
  <c r="F85" i="10"/>
  <c r="F80" i="10"/>
  <c r="F86" i="10"/>
  <c r="F81" i="10"/>
  <c r="F76" i="10"/>
  <c r="F82" i="10"/>
  <c r="F77" i="10"/>
  <c r="F83" i="10"/>
  <c r="F78" i="10"/>
  <c r="F84" i="10"/>
  <c r="F79" i="10"/>
</calcChain>
</file>

<file path=xl/comments1.xml><?xml version="1.0" encoding="utf-8"?>
<comments xmlns="http://schemas.openxmlformats.org/spreadsheetml/2006/main">
  <authors>
    <author/>
  </authors>
  <commentList>
    <comment ref="H47" authorId="0" shapeId="0">
      <text>
        <r>
          <rPr>
            <sz val="11"/>
            <color rgb="FF000000"/>
            <rFont val="Calibri"/>
            <family val="2"/>
          </rPr>
          <t xml:space="preserve">Vinny Russo:
No less than 4, no more than 7
</t>
        </r>
      </text>
    </comment>
    <comment ref="H48" authorId="0" shapeId="0">
      <text>
        <r>
          <rPr>
            <sz val="11"/>
            <color rgb="FF000000"/>
            <rFont val="Calibri"/>
            <family val="2"/>
          </rPr>
          <t xml:space="preserve">Vinny Russo:
Carbohydrat Guide:
Ectomorph - are thin individuals characterized by smaller bone structures and thinner limbs. Think of a typical endurance athlete.This profile is linked to a fast metabolic rate and a high carbohydrate tolerance:
All Meals except last Meal
Mesomorph - have a medium sized bone structure and athletic body, and if they’re active, they usually have a considerable amount of lean mass. Many explosive athletes like wrestlers and gymnasts fit these criteria. This profile leads to a predisposition for muscle gain and the maintenance of a lower body fat.
5 out of 7 Meals, 4 out of 6 meals; 3 out of 5 meals, 3 out of 4 meals
Endomorph have a larger bone structure with higher amounts of total body mass and fat mass.This profile leads to a greater propensity for energy storage, including both lean mass and fat mass. This can also mean a lower carbohydrate tolerance.
3 out of 6 or 7 Meals, 2 out of 4 or 5 meals (mainly pre and post workout)
</t>
        </r>
      </text>
    </comment>
    <comment ref="H49" authorId="0" shapeId="0">
      <text>
        <r>
          <rPr>
            <sz val="11"/>
            <color rgb="FF000000"/>
            <rFont val="Calibri"/>
            <family val="2"/>
          </rPr>
          <t xml:space="preserve">Vinny Russo:
Fat intake Guide:
Ectomorph - are thin individuals characterized by smaller bone structures and thinner limbs. Think of a typical endurance athlete.This profile is linked to a fast metabolic rate and a high carbohydrate tolerance:
4 out of 7 meals / 3 out of 5 or 6 meals - should be included in Preworkout + Last Meal (no carbs)
Mesomorph - have a medium sized bone structure and athletic body, and if they’re active, they usually have a considerable amount of lean mass. Many explosive athletes like wrestlers and gymnasts fit these criteria. This profile leads to a predisposition for muscle gain and the maintenance of a lower body fat.
3 meals -  Preworkout + Last Meal (no carbs) + 1 other meal
Endomorph have a larger bone structure with higher amounts of total body mass and fat mass.This profile leads to a greater propensity for energy storage, including both lean mass and fat mass. This can also mean a lower carbohydrate tolerance.
5 out 7 Meals / 4 out of 6 meals / 3 out of 4 or 5 meals 
</t>
        </r>
      </text>
    </comment>
  </commentList>
</comments>
</file>

<file path=xl/sharedStrings.xml><?xml version="1.0" encoding="utf-8"?>
<sst xmlns="http://schemas.openxmlformats.org/spreadsheetml/2006/main" count="2532" uniqueCount="306">
  <si>
    <t>Weight (in kg)</t>
  </si>
  <si>
    <t>CHOOSE YOUR FOOD SOURCE</t>
  </si>
  <si>
    <t>Breads, Cereals, Rice, Potatoes and Others</t>
  </si>
  <si>
    <t>How much left to use</t>
  </si>
  <si>
    <t>GOAL #'s</t>
  </si>
  <si>
    <t>Seed, Nuts, Nut Butters, and Oils</t>
  </si>
  <si>
    <t>Daily Totals</t>
  </si>
  <si>
    <t>Grams</t>
  </si>
  <si>
    <t>Bread - Bagel - CinnRaisin</t>
  </si>
  <si>
    <t>Protein</t>
  </si>
  <si>
    <t>Height (in cm)</t>
  </si>
  <si>
    <t>Bagel</t>
  </si>
  <si>
    <t>Calories</t>
  </si>
  <si>
    <t>Percentage</t>
  </si>
  <si>
    <t>Age (in yrs)</t>
  </si>
  <si>
    <t>Carb</t>
  </si>
  <si>
    <t>Fat</t>
  </si>
  <si>
    <t>Carbs</t>
  </si>
  <si>
    <t>BMR</t>
  </si>
  <si>
    <t>Total</t>
  </si>
  <si>
    <t>Calories needed if you participate in:</t>
  </si>
  <si>
    <t xml:space="preserve">Bread - Ezekiel </t>
  </si>
  <si>
    <t>Slices</t>
  </si>
  <si>
    <t>little or no exercise</t>
  </si>
  <si>
    <t>MEAL 1</t>
  </si>
  <si>
    <t>Cereal - Cheerios - Regular</t>
  </si>
  <si>
    <t>Eggs and Dairy</t>
  </si>
  <si>
    <t>Cereal - Ezekiel Bread  - Original</t>
  </si>
  <si>
    <t>Cereal - Puffed Rice</t>
  </si>
  <si>
    <t>Food</t>
  </si>
  <si>
    <t>light exercise/sports 1-3 days/week </t>
  </si>
  <si>
    <t>Measure</t>
  </si>
  <si>
    <t>Amount</t>
  </si>
  <si>
    <t>Meats and Fish</t>
  </si>
  <si>
    <t xml:space="preserve">Cereal- Fiber One </t>
  </si>
  <si>
    <t>moderate exercise/sports 3-5 days/week</t>
  </si>
  <si>
    <t>Protein Powders and Bars</t>
  </si>
  <si>
    <t>Fruit and Vegetables</t>
  </si>
  <si>
    <t>Oats - Chex Gluten free</t>
  </si>
  <si>
    <t>hard exercise/sports 6-7 days a week</t>
  </si>
  <si>
    <t>Total Calories</t>
  </si>
  <si>
    <t>Pancake Mix - Aunt Jemima - Original</t>
  </si>
  <si>
    <t>Pancake Mix - Aunt Jemima - WholeWheat</t>
  </si>
  <si>
    <t>Pancake Mix - Bobs red</t>
  </si>
  <si>
    <t>Rice  - Cakes</t>
  </si>
  <si>
    <t>Cake</t>
  </si>
  <si>
    <t>Lean Body Mass</t>
  </si>
  <si>
    <t>Height (in inches)</t>
  </si>
  <si>
    <t xml:space="preserve">Waffle - Eggo - Buttermilk </t>
  </si>
  <si>
    <t>Meal 2</t>
  </si>
  <si>
    <t>Weight</t>
  </si>
  <si>
    <t xml:space="preserve">Waffle Eggo - LowFat WholeWheat </t>
  </si>
  <si>
    <t>BF %</t>
  </si>
  <si>
    <t>LBM</t>
  </si>
  <si>
    <t xml:space="preserve">Waffles - Vans - 8 WholeGrain </t>
  </si>
  <si>
    <t>Waffles</t>
  </si>
  <si>
    <t>Approximate Body-fat Percentage</t>
  </si>
  <si>
    <t xml:space="preserve">Wrap - AmericasChoice Whole Grain </t>
  </si>
  <si>
    <t>Wrap</t>
  </si>
  <si>
    <t>Meal 3</t>
  </si>
  <si>
    <t xml:space="preserve">Cheese - 2% Cottage </t>
  </si>
  <si>
    <t xml:space="preserve">Cheese - American </t>
  </si>
  <si>
    <t xml:space="preserve">Cheese - Cheddar </t>
  </si>
  <si>
    <t xml:space="preserve">Cheese - Feta </t>
  </si>
  <si>
    <t>Cheese - Go Veggie-  Cheddar</t>
  </si>
  <si>
    <t>Cheese - Go Veggie - Pepper jack</t>
  </si>
  <si>
    <t>Cheese - Go Veggie Slice</t>
  </si>
  <si>
    <t>Cheese - KRAFT FF Shred Cheddar</t>
  </si>
  <si>
    <t>Cheese - MontJack  - Applegate</t>
  </si>
  <si>
    <t>Cheese - Mozzarella Reduced Fat Sarg</t>
  </si>
  <si>
    <t>Meal 4</t>
  </si>
  <si>
    <t>Cheese - Mozzarella Shredded</t>
  </si>
  <si>
    <t>Cheese - Ricotta  - part skim</t>
  </si>
  <si>
    <t>Egg - Better N Eggs - Liquid</t>
  </si>
  <si>
    <t>Egg - White -Large</t>
  </si>
  <si>
    <t>Egg</t>
  </si>
  <si>
    <t>Meal 5</t>
  </si>
  <si>
    <t>Egg - Whole - Large</t>
  </si>
  <si>
    <t>Egg - Whole Xtra Large</t>
  </si>
  <si>
    <t>Egg Substitute - Liquid</t>
  </si>
  <si>
    <t>Egg Whites - Liquid</t>
  </si>
  <si>
    <t>Milk - 1%</t>
  </si>
  <si>
    <t>FL oz</t>
  </si>
  <si>
    <t>Milk - 2%</t>
  </si>
  <si>
    <t>Milk - Almond Milk</t>
  </si>
  <si>
    <t>Milk - Almond Milk - Cashew</t>
  </si>
  <si>
    <t>Milk - Almond Milk - Coco Van</t>
  </si>
  <si>
    <t>Milk - Nonfat</t>
  </si>
  <si>
    <t>Meal 6</t>
  </si>
  <si>
    <t>Milk - Whole</t>
  </si>
  <si>
    <t>Yogurt - Greek - Chobain - Plain</t>
  </si>
  <si>
    <t>Nut Butter - Almond Butter</t>
  </si>
  <si>
    <t>Nut Butter - Peanut Butter</t>
  </si>
  <si>
    <t>Nut Butter - Peanut Butter - Powdered - Justins</t>
  </si>
  <si>
    <t>Meal 7</t>
  </si>
  <si>
    <t>Nut Butter - Peanut Butter - Powdered - PB</t>
  </si>
  <si>
    <t>Nut Butter - Peanut Butter - Powdered - PURE</t>
  </si>
  <si>
    <t>Nut Butter - Peanut Butter - Smuckers Natural</t>
  </si>
  <si>
    <t>Nuts - Almonds</t>
  </si>
  <si>
    <t>Nuts - Cashews</t>
  </si>
  <si>
    <t>Nuts - Peanuts</t>
  </si>
  <si>
    <t>Nuts - Pistachio</t>
  </si>
  <si>
    <t>Nuts - Walnuts</t>
  </si>
  <si>
    <t>Oil - Coconut</t>
  </si>
  <si>
    <t xml:space="preserve">Oil - Olive </t>
  </si>
  <si>
    <t>Seeds - Chia</t>
  </si>
  <si>
    <t>Seeds - Flax</t>
  </si>
  <si>
    <t>Seeds - Hemp</t>
  </si>
  <si>
    <t xml:space="preserve">Seeds - Sunflower </t>
  </si>
  <si>
    <t>Fish - Tuna - canned</t>
  </si>
  <si>
    <t>Fish - Tuna - Chunk Lite BB</t>
  </si>
  <si>
    <t>Fish - Tuna - White Albocore BB</t>
  </si>
  <si>
    <t>Polutry - Turkey Bacon - GodsHalls</t>
  </si>
  <si>
    <t xml:space="preserve">Polutry - Turkey Patty - Jennie-0 </t>
  </si>
  <si>
    <t>Patty</t>
  </si>
  <si>
    <t>Polutry - Turkey Patty - Jennie-0 (90:10)</t>
  </si>
  <si>
    <t>Pork - Bacon</t>
  </si>
  <si>
    <t>Pork - Ham (boneless)</t>
  </si>
  <si>
    <t xml:space="preserve">Protein - ANIMAL Whey - Cinnabun </t>
  </si>
  <si>
    <t>Protein - BPI iso HD - Smores</t>
  </si>
  <si>
    <t>Protein - Cellucor - Chocolate</t>
  </si>
  <si>
    <t xml:space="preserve">Protein - Cellucor - Cinn </t>
  </si>
  <si>
    <t xml:space="preserve">Protein - Cellucor - Mint </t>
  </si>
  <si>
    <t xml:space="preserve">Protein - Cellucor - S'mores </t>
  </si>
  <si>
    <t xml:space="preserve">Protein - Dymatize Iso - BDAY </t>
  </si>
  <si>
    <t xml:space="preserve">Protein - Dymatize Iso - Chocolate </t>
  </si>
  <si>
    <t>Protein - Dymatize Iso - Cinn</t>
  </si>
  <si>
    <t>Protein - Dymatize Iso - Vanilla</t>
  </si>
  <si>
    <t>Protein - Grendae Hydra-6 - Chocolate</t>
  </si>
  <si>
    <t xml:space="preserve">Protein - Grendae Hydra-6 - Cookie </t>
  </si>
  <si>
    <t xml:space="preserve">Protein - Grendae Hydra-6 - Strawberry </t>
  </si>
  <si>
    <t xml:space="preserve">Protein - Grendae Hydra-6 - Vanilla </t>
  </si>
  <si>
    <t>Protein - VPX SRO</t>
  </si>
  <si>
    <t>Protein Bar - Grenade - Carb Killa - Caramel</t>
  </si>
  <si>
    <t>Bar</t>
  </si>
  <si>
    <t>Protein bar - PowerCrunch</t>
  </si>
  <si>
    <t>Protein Bar - Quest - Choc. Chip Cookie</t>
  </si>
  <si>
    <t>Protein Bar - Quest - CookiesNCream</t>
  </si>
  <si>
    <t>Protein Bar - Quest - Mint</t>
  </si>
  <si>
    <t xml:space="preserve">Protein Bar - Quest - Oat Choc. Chip </t>
  </si>
  <si>
    <t>Protein Bar - Quest - S'mores</t>
  </si>
  <si>
    <t>Fruit - Apple - Fuji</t>
  </si>
  <si>
    <t>Fruit - Apple - Gala</t>
  </si>
  <si>
    <t>Fruit - Apple - Granny</t>
  </si>
  <si>
    <t>Fruit - Apple Sauce - Unsweetened</t>
  </si>
  <si>
    <t>Fruit - Avocado</t>
  </si>
  <si>
    <t>Fruit - Banana</t>
  </si>
  <si>
    <t>Fruit - blueberries</t>
  </si>
  <si>
    <t>Fruit - Grapefruit</t>
  </si>
  <si>
    <t>Fruit - Grapes</t>
  </si>
  <si>
    <t>Fruit - Kiwi</t>
  </si>
  <si>
    <t>Fruit - Mango</t>
  </si>
  <si>
    <t>Fruit - Nectarine</t>
  </si>
  <si>
    <t>Fruit - Orange</t>
  </si>
  <si>
    <t>Fruit - Peach</t>
  </si>
  <si>
    <t>Fruit - Pineapple</t>
  </si>
  <si>
    <t>Fruit - Plum</t>
  </si>
  <si>
    <t>Fruit - Raspberries</t>
  </si>
  <si>
    <t>Fruit - Strawberries</t>
  </si>
  <si>
    <t>Fruit - Watermelon</t>
  </si>
  <si>
    <t>Tofu</t>
  </si>
  <si>
    <t>Vegetable - Asparagus</t>
  </si>
  <si>
    <t>Vegetable - Broccoli</t>
  </si>
  <si>
    <t>Vegetable - Cabbage</t>
  </si>
  <si>
    <t>Vegetable - Cauliflower</t>
  </si>
  <si>
    <t>Vegetable - Romaine Lettuce</t>
  </si>
  <si>
    <t>Vegetable - Spinach</t>
  </si>
  <si>
    <t>Vegetable - Zucchini</t>
  </si>
  <si>
    <t>Breads Cereals Rice Potatoes and Others</t>
  </si>
  <si>
    <t>Seed Nuts Nut Butters and Oils</t>
  </si>
  <si>
    <t>Cream of Rice - Dry</t>
  </si>
  <si>
    <t>Grits - Dry</t>
  </si>
  <si>
    <t>Oats - Bobs Red - Dry</t>
  </si>
  <si>
    <t>Oats - Quick Cook - Dry</t>
  </si>
  <si>
    <t>Pasta - Whole Wheat - Dry</t>
  </si>
  <si>
    <t>Rice - Brown - Cooked</t>
  </si>
  <si>
    <t>Rice - Jasmine - Cooked</t>
  </si>
  <si>
    <t>Rice - White - Cooked</t>
  </si>
  <si>
    <t>Sweet Potato - Cooked</t>
  </si>
  <si>
    <t>White Potato - Cooked</t>
  </si>
  <si>
    <t>Fish - Blue Crab - Cooked</t>
  </si>
  <si>
    <t>Fish - Catfish - Cooked</t>
  </si>
  <si>
    <t>Fish - Cod - Cooked</t>
  </si>
  <si>
    <t>Fish - Flounder - Cooked</t>
  </si>
  <si>
    <t>Fish - Haddock - Cooked</t>
  </si>
  <si>
    <t>Fish - Halibut - Cooked</t>
  </si>
  <si>
    <t>Fish - Perch - Cooked</t>
  </si>
  <si>
    <t>Fish - Red Snapper - Cooked</t>
  </si>
  <si>
    <t>Fish - Scallops - Cooked</t>
  </si>
  <si>
    <t>Fish - Sea Bass - Cooked</t>
  </si>
  <si>
    <t>Fish - Shrimp - Cooked</t>
  </si>
  <si>
    <t>Fish - Swai - Cooked</t>
  </si>
  <si>
    <t>Fish - Tilapia  - Cooked</t>
  </si>
  <si>
    <t>Fish - Tuna Steak - Cooked</t>
  </si>
  <si>
    <t>Game Meat - Bison - Cooked</t>
  </si>
  <si>
    <t>Game Meat - Venison - Cooked</t>
  </si>
  <si>
    <t>Ground Beef (90/10) - Cooked</t>
  </si>
  <si>
    <t>Ground Beef (93/7) - Cooked</t>
  </si>
  <si>
    <t>Ground Beef (96/4) - Cooked</t>
  </si>
  <si>
    <t>Ground Chicken - 98% Lean  - Cooked</t>
  </si>
  <si>
    <t>Ground Turkey (99/1) - Cooked</t>
  </si>
  <si>
    <t>Polutry - Chicken Breast - Cooked</t>
  </si>
  <si>
    <t>Polutry - Duck - Cooked</t>
  </si>
  <si>
    <t>Steak - Flank  - Cooked</t>
  </si>
  <si>
    <t>Steak - Fliet Mignon - Cooked</t>
  </si>
  <si>
    <t>Steak - Naturre Reserve Top Loin - Cooked</t>
  </si>
  <si>
    <t>Steak - Top Round  - Cooked</t>
  </si>
  <si>
    <t>Steak - Top Round London Broil - Cooked</t>
  </si>
  <si>
    <t>% Based</t>
  </si>
  <si>
    <t>Everyday</t>
  </si>
  <si>
    <t>Cut-Train</t>
  </si>
  <si>
    <t>Cut-NonTrain</t>
  </si>
  <si>
    <t>INSTRUCTIONS</t>
  </si>
  <si>
    <t>Macros</t>
  </si>
  <si>
    <t>Gender</t>
  </si>
  <si>
    <t>Estimation of  Body-fat Percentage</t>
  </si>
  <si>
    <t>Weight (In POUNDS)</t>
  </si>
  <si>
    <t>Neck Circumference (in INCHES) - At narrowest point</t>
  </si>
  <si>
    <t>Age</t>
  </si>
  <si>
    <t>Waist Circumference (in INCHES) - Around navel, relaxed.</t>
  </si>
  <si>
    <t>Hip Measurement (in inches)</t>
  </si>
  <si>
    <t>Activity Level</t>
  </si>
  <si>
    <t>Total Caloires</t>
  </si>
  <si>
    <t>Overall Goal</t>
  </si>
  <si>
    <t>Body Type</t>
  </si>
  <si>
    <t>Carb Source</t>
  </si>
  <si>
    <t>Size</t>
  </si>
  <si>
    <t>Yams</t>
  </si>
  <si>
    <t>Ezekiel Bread</t>
  </si>
  <si>
    <t>very hard exercise/sports &amp; physical job or 2x training</t>
  </si>
  <si>
    <t>Oat Meal</t>
  </si>
  <si>
    <t>Cream of Rice</t>
  </si>
  <si>
    <t>Brown Rice</t>
  </si>
  <si>
    <t>White Rice</t>
  </si>
  <si>
    <t>Jasmine Rice</t>
  </si>
  <si>
    <t>Quinoa</t>
  </si>
  <si>
    <t>Red Potato</t>
  </si>
  <si>
    <t>Grits</t>
  </si>
  <si>
    <t>Couscous</t>
  </si>
  <si>
    <t>Grams per meal</t>
  </si>
  <si>
    <t>Protein Source</t>
  </si>
  <si>
    <t>Top Round Steak</t>
  </si>
  <si>
    <t>Chicken Breast</t>
  </si>
  <si>
    <t>Egg - White Only</t>
  </si>
  <si>
    <t>Protein Scoop</t>
  </si>
  <si>
    <t>#ERROR!</t>
  </si>
  <si>
    <t>Tilapia</t>
  </si>
  <si>
    <t>Salmon</t>
  </si>
  <si>
    <t>Tuna (bumblebee H20)</t>
  </si>
  <si>
    <t>Shrimp(frozen/cooked)</t>
  </si>
  <si>
    <t>Gnd Tky (99)</t>
  </si>
  <si>
    <t>Bison</t>
  </si>
  <si>
    <t>Catfish</t>
  </si>
  <si>
    <t>Cod</t>
  </si>
  <si>
    <t>Fliet mignon</t>
  </si>
  <si>
    <t>Flank Steak</t>
  </si>
  <si>
    <t>Flounder</t>
  </si>
  <si>
    <t>Haddok</t>
  </si>
  <si>
    <t>Red Snapper</t>
  </si>
  <si>
    <t>Venison</t>
  </si>
  <si>
    <t>Meals per day</t>
  </si>
  <si>
    <t>Meals with Carbs</t>
  </si>
  <si>
    <t>Fat Source</t>
  </si>
  <si>
    <t>Meals with Fats</t>
  </si>
  <si>
    <t>Almonds</t>
  </si>
  <si>
    <t>Almond Butter</t>
  </si>
  <si>
    <t>Peanut Butter</t>
  </si>
  <si>
    <t>Olive Oil</t>
  </si>
  <si>
    <t>Avocado</t>
  </si>
  <si>
    <t>Coconut Oil</t>
  </si>
  <si>
    <t>Cashews</t>
  </si>
  <si>
    <t>MCT Oil</t>
  </si>
  <si>
    <t>Walnuts</t>
  </si>
  <si>
    <t>Pistachio</t>
  </si>
  <si>
    <t>Sunflower Seeds</t>
  </si>
  <si>
    <t>Fibrous Carbs</t>
  </si>
  <si>
    <t>Broccoli</t>
  </si>
  <si>
    <t>Celery</t>
  </si>
  <si>
    <t>Spinach</t>
  </si>
  <si>
    <t>Cauliflower</t>
  </si>
  <si>
    <t>Aspargus</t>
  </si>
  <si>
    <t>Green Peppers (Bell)</t>
  </si>
  <si>
    <t>Red Peppers (Bell)</t>
  </si>
  <si>
    <t>Carb Source - OFF</t>
  </si>
  <si>
    <t>Activity Levels</t>
  </si>
  <si>
    <t>For male</t>
  </si>
  <si>
    <t>For female</t>
  </si>
  <si>
    <t>BodyType</t>
  </si>
  <si>
    <t>Type I</t>
  </si>
  <si>
    <t>Type V</t>
  </si>
  <si>
    <t>Type O</t>
  </si>
  <si>
    <t>BMR Calculator</t>
  </si>
  <si>
    <t>Male</t>
  </si>
  <si>
    <t>Female</t>
  </si>
  <si>
    <t>Lose Body Fat</t>
  </si>
  <si>
    <t>Goal</t>
  </si>
  <si>
    <t>Lose Fat</t>
  </si>
  <si>
    <r>
      <t xml:space="preserve">Height (In INCHES)        </t>
    </r>
    <r>
      <rPr>
        <b/>
        <sz val="12"/>
        <rFont val="Calibri"/>
        <family val="2"/>
      </rPr>
      <t>Ex: 5 feet = 60</t>
    </r>
  </si>
  <si>
    <r>
      <t xml:space="preserve">ALL Numbers will calculate once all </t>
    </r>
    <r>
      <rPr>
        <b/>
        <sz val="11"/>
        <color rgb="FFFF0000"/>
        <rFont val="Calibri"/>
        <family val="2"/>
      </rPr>
      <t>RED</t>
    </r>
    <r>
      <rPr>
        <b/>
        <sz val="11"/>
        <color rgb="FFFFFFFF"/>
        <rFont val="Calibri"/>
        <family val="2"/>
      </rPr>
      <t xml:space="preserve"> cells are filled in appropriately </t>
    </r>
  </si>
  <si>
    <t>D</t>
  </si>
  <si>
    <t>Body    Type</t>
  </si>
  <si>
    <t>1.) Fill in all the RED colored Cells Starting with GENDER</t>
  </si>
  <si>
    <r>
      <t xml:space="preserve">2.) Use the </t>
    </r>
    <r>
      <rPr>
        <b/>
        <u/>
        <sz val="13"/>
        <color rgb="FFFF0000"/>
        <rFont val="Calibri"/>
        <family val="2"/>
      </rPr>
      <t>Activity Level Guide</t>
    </r>
    <r>
      <rPr>
        <b/>
        <sz val="13"/>
        <color rgb="FFFF0000"/>
        <rFont val="Calibri"/>
        <family val="2"/>
      </rPr>
      <t xml:space="preserve"> (to the left) to help you choose your appropriate level of activity</t>
    </r>
  </si>
  <si>
    <r>
      <t xml:space="preserve">3.) Use the </t>
    </r>
    <r>
      <rPr>
        <b/>
        <u/>
        <sz val="12"/>
        <color rgb="FFFF0000"/>
        <rFont val="Calibri"/>
        <family val="2"/>
      </rPr>
      <t>What is Your Body Type Guide</t>
    </r>
    <r>
      <rPr>
        <b/>
        <sz val="12"/>
        <color rgb="FFFF0000"/>
        <rFont val="Calibri"/>
        <family val="2"/>
      </rPr>
      <t xml:space="preserve"> below to help you choose the appropriate body type </t>
    </r>
  </si>
  <si>
    <r>
      <t xml:space="preserve">4.) </t>
    </r>
    <r>
      <rPr>
        <b/>
        <u/>
        <sz val="12"/>
        <color rgb="FFFF0000"/>
        <rFont val="Calibri"/>
        <family val="2"/>
      </rPr>
      <t>MALES</t>
    </r>
    <r>
      <rPr>
        <b/>
        <sz val="12"/>
        <color rgb="FFFF0000"/>
        <rFont val="Calibri"/>
        <family val="2"/>
      </rPr>
      <t xml:space="preserve">  - FILL IN Neck and WAIST Cirumferences</t>
    </r>
  </si>
  <si>
    <r>
      <t xml:space="preserve">4.) </t>
    </r>
    <r>
      <rPr>
        <b/>
        <u/>
        <sz val="12"/>
        <color rgb="FFFF0000"/>
        <rFont val="Calibri"/>
        <family val="2"/>
      </rPr>
      <t>FEMALES</t>
    </r>
    <r>
      <rPr>
        <b/>
        <sz val="12"/>
        <color rgb="FFFF0000"/>
        <rFont val="Calibri"/>
        <family val="2"/>
      </rPr>
      <t xml:space="preserve">  - FILL IN Neck, Hip and WAIST Cirumferences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</si>
</sst>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5" x14ac:knownFonts="1">
    <font>
      <sz val="11"/>
      <color rgb="FF000000"/>
      <name val="Calibri"/>
    </font>
    <font>
      <b/>
      <u/>
      <sz val="14"/>
      <color rgb="FF000000"/>
      <name val="Calibri"/>
      <family val="2"/>
    </font>
    <font>
      <b/>
      <sz val="11"/>
      <color rgb="FFFFFFFF"/>
      <name val="Calibri"/>
      <family val="2"/>
    </font>
    <font>
      <sz val="11"/>
      <name val="Calibri"/>
      <family val="2"/>
    </font>
    <font>
      <b/>
      <sz val="11"/>
      <color rgb="FFFA7D00"/>
      <name val="Calibri"/>
      <family val="2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</font>
    <font>
      <b/>
      <sz val="10"/>
      <name val="Calibri"/>
      <family val="2"/>
    </font>
    <font>
      <sz val="14"/>
      <color rgb="FFFF0000"/>
      <name val="Calibri"/>
      <family val="2"/>
    </font>
    <font>
      <sz val="11"/>
      <name val="Calibri"/>
      <family val="2"/>
    </font>
    <font>
      <sz val="11"/>
      <name val="Arial"/>
      <family val="2"/>
    </font>
    <font>
      <sz val="11"/>
      <color rgb="FFFF0000"/>
      <name val="Calibri"/>
      <family val="2"/>
    </font>
    <font>
      <b/>
      <u/>
      <sz val="14"/>
      <color rgb="FF000000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sz val="11"/>
      <color theme="0"/>
      <name val="Calibri"/>
      <family val="2"/>
    </font>
    <font>
      <sz val="11"/>
      <color theme="0"/>
      <name val="Arial"/>
      <family val="2"/>
    </font>
    <font>
      <sz val="11"/>
      <name val="Calibri"/>
    </font>
    <font>
      <b/>
      <sz val="9"/>
      <color rgb="FF000000"/>
      <name val="Helvetica Neue"/>
    </font>
    <font>
      <sz val="9"/>
      <color rgb="FF000000"/>
      <name val="Helvetica Neue"/>
    </font>
    <font>
      <b/>
      <sz val="12"/>
      <name val="Calibri"/>
      <family val="2"/>
    </font>
    <font>
      <b/>
      <sz val="14"/>
      <color rgb="FFFFFFFF"/>
      <name val="Calibri"/>
      <family val="2"/>
    </font>
    <font>
      <b/>
      <sz val="13"/>
      <color rgb="FFFF0000"/>
      <name val="Calibri"/>
      <family val="2"/>
    </font>
    <font>
      <b/>
      <sz val="12"/>
      <color rgb="FFFF0000"/>
      <name val="Calibri"/>
      <family val="2"/>
    </font>
    <font>
      <b/>
      <u/>
      <sz val="12"/>
      <color rgb="FFFF0000"/>
      <name val="Calibri"/>
      <family val="2"/>
    </font>
    <font>
      <b/>
      <sz val="12"/>
      <color rgb="FFFFFFFF"/>
      <name val="Calibri"/>
      <family val="2"/>
    </font>
    <font>
      <b/>
      <u/>
      <sz val="13"/>
      <color rgb="FFFF0000"/>
      <name val="Calibri"/>
      <family val="2"/>
    </font>
    <font>
      <b/>
      <i/>
      <sz val="10"/>
      <color rgb="FF000000"/>
      <name val="Arial"/>
      <family val="2"/>
    </font>
    <font>
      <b/>
      <i/>
      <u/>
      <sz val="11"/>
      <name val="Calibri"/>
      <family val="2"/>
    </font>
    <font>
      <b/>
      <u/>
      <sz val="11"/>
      <name val="Calibri"/>
      <family val="2"/>
    </font>
    <font>
      <b/>
      <u/>
      <sz val="11"/>
      <color theme="0"/>
      <name val="Calibri"/>
      <family val="2"/>
    </font>
    <font>
      <b/>
      <sz val="9"/>
      <color rgb="FF000000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FF0000"/>
        <bgColor rgb="FFFF0000"/>
      </patternFill>
    </fill>
    <fill>
      <patternFill patternType="solid">
        <fgColor rgb="FFA5A5A5"/>
        <bgColor rgb="FFA5A5A5"/>
      </patternFill>
    </fill>
    <fill>
      <patternFill patternType="solid">
        <fgColor rgb="FFF2F2F2"/>
        <bgColor rgb="FFF2F2F2"/>
      </patternFill>
    </fill>
    <fill>
      <patternFill patternType="solid">
        <fgColor rgb="FFFFFFFF"/>
        <bgColor rgb="FFFFFFFF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rgb="FF000000"/>
      </patternFill>
    </fill>
    <fill>
      <patternFill patternType="solid">
        <fgColor theme="1"/>
        <bgColor rgb="FF000000"/>
      </patternFill>
    </fill>
    <fill>
      <patternFill patternType="solid">
        <fgColor rgb="FFFF0000"/>
        <bgColor rgb="FFF2F2F2"/>
      </patternFill>
    </fill>
    <fill>
      <patternFill patternType="solid">
        <fgColor rgb="FFFF0000"/>
        <bgColor rgb="FFA5A5A5"/>
      </patternFill>
    </fill>
    <fill>
      <patternFill patternType="solid">
        <fgColor theme="1"/>
        <bgColor rgb="FFA5A5A5"/>
      </patternFill>
    </fill>
    <fill>
      <patternFill patternType="solid">
        <fgColor theme="1" tint="0.14999847407452621"/>
        <bgColor rgb="FFA5A5A5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34998626667073579"/>
        <bgColor rgb="FFFF0000"/>
      </patternFill>
    </fill>
  </fills>
  <borders count="4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double">
        <color rgb="FF3F3F3F"/>
      </right>
      <top/>
      <bottom/>
      <diagonal/>
    </border>
    <border>
      <left/>
      <right style="double">
        <color rgb="FF3F3F3F"/>
      </right>
      <top/>
      <bottom style="double">
        <color rgb="FF3F3F3F"/>
      </bottom>
      <diagonal/>
    </border>
    <border>
      <left/>
      <right style="thin">
        <color rgb="FF7F7F7F"/>
      </right>
      <top/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rgb="FF3F3F3F"/>
      </bottom>
      <diagonal/>
    </border>
    <border>
      <left/>
      <right/>
      <top style="double">
        <color rgb="FF3F3F3F"/>
      </top>
      <bottom style="double">
        <color rgb="FF3F3F3F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rgb="FFA5A5A5"/>
      </bottom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 style="thin">
        <color rgb="FFA5A5A5"/>
      </left>
      <right/>
      <top style="thin">
        <color rgb="FFA5A5A5"/>
      </top>
      <bottom/>
      <diagonal/>
    </border>
    <border>
      <left/>
      <right/>
      <top style="thin">
        <color rgb="FFA5A5A5"/>
      </top>
      <bottom/>
      <diagonal/>
    </border>
    <border>
      <left/>
      <right style="thin">
        <color rgb="FFA5A5A5"/>
      </right>
      <top style="thin">
        <color rgb="FFA5A5A5"/>
      </top>
      <bottom/>
      <diagonal/>
    </border>
    <border>
      <left style="thin">
        <color rgb="FFA5A5A5"/>
      </left>
      <right/>
      <top style="thin">
        <color rgb="FFA5A5A5"/>
      </top>
      <bottom style="thin">
        <color rgb="FFA5A5A5"/>
      </bottom>
      <diagonal/>
    </border>
    <border>
      <left/>
      <right style="thin">
        <color rgb="FFA5A5A5"/>
      </right>
      <top style="thin">
        <color rgb="FFA5A5A5"/>
      </top>
      <bottom style="thin">
        <color rgb="FFA5A5A5"/>
      </bottom>
      <diagonal/>
    </border>
    <border>
      <left style="thin">
        <color rgb="FFBFBFBF"/>
      </left>
      <right style="thin">
        <color rgb="FFBFBFBF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A5A5A5"/>
      </left>
      <right/>
      <top/>
      <bottom style="thin">
        <color rgb="FFA5A5A5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 style="thin">
        <color rgb="FFA5A5A5"/>
      </left>
      <right/>
      <top/>
      <bottom/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BFBFBF"/>
      </left>
      <right style="thin">
        <color rgb="FFBFBFBF"/>
      </right>
      <top style="thin">
        <color rgb="FFBFBFBF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BFBFBF"/>
      </right>
      <top style="thin">
        <color rgb="FF000000"/>
      </top>
      <bottom style="thin">
        <color rgb="FF000000"/>
      </bottom>
      <diagonal/>
    </border>
    <border>
      <left style="thin">
        <color rgb="FFBFBFBF"/>
      </left>
      <right/>
      <top style="thin">
        <color rgb="FFBFBFBF"/>
      </top>
      <bottom/>
      <diagonal/>
    </border>
    <border>
      <left/>
      <right/>
      <top style="thin">
        <color rgb="FFBFBFBF"/>
      </top>
      <bottom/>
      <diagonal/>
    </border>
    <border>
      <left style="thin">
        <color rgb="FFBFBFBF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175">
    <xf numFmtId="0" fontId="0" fillId="0" borderId="0" xfId="0" applyFont="1" applyAlignment="1"/>
    <xf numFmtId="0" fontId="0" fillId="2" borderId="1" xfId="0" applyFont="1" applyFill="1" applyBorder="1"/>
    <xf numFmtId="164" fontId="1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/>
    <xf numFmtId="164" fontId="2" fillId="2" borderId="1" xfId="0" applyNumberFormat="1" applyFont="1" applyFill="1" applyBorder="1" applyAlignment="1">
      <alignment horizontal="center"/>
    </xf>
    <xf numFmtId="164" fontId="0" fillId="2" borderId="1" xfId="0" applyNumberFormat="1" applyFont="1" applyFill="1" applyBorder="1"/>
    <xf numFmtId="164" fontId="4" fillId="2" borderId="1" xfId="0" applyNumberFormat="1" applyFont="1" applyFill="1" applyBorder="1" applyAlignment="1">
      <alignment horizontal="center" wrapText="1"/>
    </xf>
    <xf numFmtId="0" fontId="0" fillId="0" borderId="0" xfId="0" applyFont="1"/>
    <xf numFmtId="164" fontId="10" fillId="0" borderId="0" xfId="0" applyNumberFormat="1" applyFont="1"/>
    <xf numFmtId="164" fontId="10" fillId="0" borderId="7" xfId="0" applyNumberFormat="1" applyFont="1" applyBorder="1" applyAlignment="1">
      <alignment horizontal="right"/>
    </xf>
    <xf numFmtId="164" fontId="2" fillId="4" borderId="8" xfId="0" applyNumberFormat="1" applyFont="1" applyFill="1" applyBorder="1" applyAlignment="1">
      <alignment horizontal="right"/>
    </xf>
    <xf numFmtId="164" fontId="6" fillId="5" borderId="9" xfId="0" applyNumberFormat="1" applyFont="1" applyFill="1" applyBorder="1" applyAlignment="1">
      <alignment horizontal="right"/>
    </xf>
    <xf numFmtId="164" fontId="11" fillId="0" borderId="10" xfId="0" applyNumberFormat="1" applyFont="1" applyBorder="1"/>
    <xf numFmtId="164" fontId="0" fillId="2" borderId="1" xfId="0" applyNumberFormat="1" applyFont="1" applyFill="1" applyBorder="1" applyAlignment="1">
      <alignment horizontal="center"/>
    </xf>
    <xf numFmtId="164" fontId="12" fillId="3" borderId="1" xfId="0" applyNumberFormat="1" applyFont="1" applyFill="1" applyBorder="1" applyAlignment="1">
      <alignment horizontal="center"/>
    </xf>
    <xf numFmtId="164" fontId="0" fillId="3" borderId="1" xfId="0" applyNumberFormat="1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164" fontId="9" fillId="2" borderId="1" xfId="0" applyNumberFormat="1" applyFont="1" applyFill="1" applyBorder="1"/>
    <xf numFmtId="164" fontId="0" fillId="0" borderId="0" xfId="0" applyNumberFormat="1" applyFont="1"/>
    <xf numFmtId="164" fontId="0" fillId="0" borderId="0" xfId="0" applyNumberFormat="1" applyFont="1" applyAlignment="1">
      <alignment horizontal="center"/>
    </xf>
    <xf numFmtId="164" fontId="11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/>
    <xf numFmtId="0" fontId="0" fillId="0" borderId="0" xfId="0" applyFont="1" applyAlignment="1"/>
    <xf numFmtId="0" fontId="16" fillId="0" borderId="0" xfId="0" applyFont="1"/>
    <xf numFmtId="164" fontId="1" fillId="2" borderId="5" xfId="0" applyNumberFormat="1" applyFont="1" applyFill="1" applyBorder="1" applyAlignment="1">
      <alignment horizontal="center"/>
    </xf>
    <xf numFmtId="164" fontId="0" fillId="2" borderId="5" xfId="0" applyNumberFormat="1" applyFont="1" applyFill="1" applyBorder="1" applyAlignment="1">
      <alignment horizontal="center"/>
    </xf>
    <xf numFmtId="164" fontId="0" fillId="0" borderId="5" xfId="0" applyNumberFormat="1" applyFont="1" applyBorder="1"/>
    <xf numFmtId="0" fontId="0" fillId="0" borderId="5" xfId="0" applyFont="1" applyBorder="1" applyAlignment="1"/>
    <xf numFmtId="164" fontId="1" fillId="2" borderId="12" xfId="0" applyNumberFormat="1" applyFont="1" applyFill="1" applyBorder="1" applyAlignment="1">
      <alignment horizontal="center"/>
    </xf>
    <xf numFmtId="164" fontId="5" fillId="2" borderId="12" xfId="0" applyNumberFormat="1" applyFont="1" applyFill="1" applyBorder="1" applyAlignment="1">
      <alignment horizontal="center"/>
    </xf>
    <xf numFmtId="164" fontId="9" fillId="2" borderId="12" xfId="0" applyNumberFormat="1" applyFont="1" applyFill="1" applyBorder="1"/>
    <xf numFmtId="164" fontId="0" fillId="2" borderId="12" xfId="0" applyNumberFormat="1" applyFont="1" applyFill="1" applyBorder="1"/>
    <xf numFmtId="164" fontId="0" fillId="2" borderId="12" xfId="0" applyNumberFormat="1" applyFont="1" applyFill="1" applyBorder="1" applyAlignment="1">
      <alignment horizontal="center"/>
    </xf>
    <xf numFmtId="164" fontId="0" fillId="0" borderId="12" xfId="0" applyNumberFormat="1" applyFont="1" applyBorder="1"/>
    <xf numFmtId="0" fontId="0" fillId="0" borderId="12" xfId="0" applyFont="1" applyBorder="1"/>
    <xf numFmtId="0" fontId="0" fillId="0" borderId="12" xfId="0" applyFont="1" applyBorder="1" applyAlignment="1"/>
    <xf numFmtId="164" fontId="0" fillId="0" borderId="5" xfId="0" applyNumberFormat="1" applyFont="1" applyBorder="1" applyAlignment="1">
      <alignment horizontal="center"/>
    </xf>
    <xf numFmtId="164" fontId="11" fillId="0" borderId="5" xfId="0" applyNumberFormat="1" applyFont="1" applyBorder="1" applyAlignment="1">
      <alignment horizontal="center"/>
    </xf>
    <xf numFmtId="164" fontId="0" fillId="2" borderId="13" xfId="0" applyNumberFormat="1" applyFont="1" applyFill="1" applyBorder="1" applyAlignment="1">
      <alignment horizontal="center"/>
    </xf>
    <xf numFmtId="164" fontId="0" fillId="0" borderId="14" xfId="0" applyNumberFormat="1" applyFont="1" applyBorder="1"/>
    <xf numFmtId="164" fontId="6" fillId="5" borderId="2" xfId="0" applyNumberFormat="1" applyFont="1" applyFill="1" applyBorder="1" applyProtection="1"/>
    <xf numFmtId="0" fontId="0" fillId="0" borderId="0" xfId="0" applyFont="1" applyAlignment="1"/>
    <xf numFmtId="0" fontId="0" fillId="0" borderId="0" xfId="0" applyFont="1" applyAlignment="1"/>
    <xf numFmtId="0" fontId="17" fillId="0" borderId="0" xfId="0" applyFont="1" applyAlignment="1"/>
    <xf numFmtId="2" fontId="0" fillId="0" borderId="0" xfId="0" applyNumberFormat="1" applyFont="1" applyAlignment="1"/>
    <xf numFmtId="1" fontId="0" fillId="0" borderId="0" xfId="0" applyNumberFormat="1" applyFont="1" applyAlignment="1"/>
    <xf numFmtId="164" fontId="5" fillId="2" borderId="5" xfId="0" applyNumberFormat="1" applyFont="1" applyFill="1" applyBorder="1" applyAlignment="1">
      <alignment horizontal="center"/>
    </xf>
    <xf numFmtId="164" fontId="9" fillId="2" borderId="5" xfId="0" applyNumberFormat="1" applyFont="1" applyFill="1" applyBorder="1"/>
    <xf numFmtId="164" fontId="0" fillId="2" borderId="5" xfId="0" applyNumberFormat="1" applyFont="1" applyFill="1" applyBorder="1"/>
    <xf numFmtId="164" fontId="18" fillId="11" borderId="12" xfId="0" applyNumberFormat="1" applyFont="1" applyFill="1" applyBorder="1" applyAlignment="1">
      <alignment horizontal="center"/>
    </xf>
    <xf numFmtId="164" fontId="18" fillId="11" borderId="12" xfId="0" applyNumberFormat="1" applyFont="1" applyFill="1" applyBorder="1" applyAlignment="1">
      <alignment horizontal="right"/>
    </xf>
    <xf numFmtId="164" fontId="16" fillId="7" borderId="12" xfId="0" applyNumberFormat="1" applyFont="1" applyFill="1" applyBorder="1"/>
    <xf numFmtId="164" fontId="2" fillId="14" borderId="15" xfId="0" applyNumberFormat="1" applyFont="1" applyFill="1" applyBorder="1" applyAlignment="1">
      <alignment horizontal="right"/>
    </xf>
    <xf numFmtId="164" fontId="2" fillId="14" borderId="16" xfId="0" applyNumberFormat="1" applyFont="1" applyFill="1" applyBorder="1" applyAlignment="1">
      <alignment horizontal="center"/>
    </xf>
    <xf numFmtId="164" fontId="18" fillId="14" borderId="12" xfId="0" applyNumberFormat="1" applyFont="1" applyFill="1" applyBorder="1" applyAlignment="1">
      <alignment horizontal="center"/>
    </xf>
    <xf numFmtId="164" fontId="18" fillId="14" borderId="12" xfId="0" applyNumberFormat="1" applyFont="1" applyFill="1" applyBorder="1" applyAlignment="1">
      <alignment horizontal="right"/>
    </xf>
    <xf numFmtId="164" fontId="19" fillId="15" borderId="18" xfId="0" applyNumberFormat="1" applyFont="1" applyFill="1" applyBorder="1" applyAlignment="1">
      <alignment horizontal="center"/>
    </xf>
    <xf numFmtId="164" fontId="10" fillId="8" borderId="17" xfId="0" applyNumberFormat="1" applyFont="1" applyFill="1" applyBorder="1" applyAlignment="1" applyProtection="1">
      <alignment horizontal="right"/>
      <protection locked="0"/>
    </xf>
    <xf numFmtId="164" fontId="10" fillId="8" borderId="17" xfId="0" applyNumberFormat="1" applyFont="1" applyFill="1" applyBorder="1" applyProtection="1">
      <protection locked="0"/>
    </xf>
    <xf numFmtId="164" fontId="0" fillId="8" borderId="17" xfId="0" applyNumberFormat="1" applyFont="1" applyFill="1" applyBorder="1" applyProtection="1">
      <protection locked="0"/>
    </xf>
    <xf numFmtId="164" fontId="2" fillId="3" borderId="5" xfId="0" applyNumberFormat="1" applyFont="1" applyFill="1" applyBorder="1"/>
    <xf numFmtId="0" fontId="0" fillId="2" borderId="5" xfId="0" applyFont="1" applyFill="1" applyBorder="1"/>
    <xf numFmtId="49" fontId="22" fillId="4" borderId="2" xfId="0" applyNumberFormat="1" applyFont="1" applyFill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center" vertical="center" wrapText="1"/>
    </xf>
    <xf numFmtId="49" fontId="22" fillId="4" borderId="31" xfId="0" applyNumberFormat="1" applyFont="1" applyFill="1" applyBorder="1" applyAlignment="1">
      <alignment horizontal="center" vertical="center" wrapText="1"/>
    </xf>
    <xf numFmtId="0" fontId="21" fillId="4" borderId="30" xfId="0" applyFont="1" applyFill="1" applyBorder="1" applyAlignment="1">
      <alignment horizontal="center" vertical="center" wrapText="1"/>
    </xf>
    <xf numFmtId="0" fontId="21" fillId="3" borderId="2" xfId="0" applyFont="1" applyFill="1" applyBorder="1" applyAlignment="1" applyProtection="1">
      <alignment horizontal="center" vertical="center" wrapText="1"/>
      <protection locked="0"/>
    </xf>
    <xf numFmtId="0" fontId="21" fillId="3" borderId="30" xfId="0" applyFont="1" applyFill="1" applyBorder="1" applyAlignment="1" applyProtection="1">
      <alignment horizontal="center" vertical="center" wrapText="1"/>
      <protection locked="0"/>
    </xf>
    <xf numFmtId="0" fontId="21" fillId="3" borderId="36" xfId="0" applyFont="1" applyFill="1" applyBorder="1" applyAlignment="1" applyProtection="1">
      <alignment horizontal="center" vertical="center" wrapText="1"/>
      <protection locked="0"/>
    </xf>
    <xf numFmtId="0" fontId="21" fillId="3" borderId="37" xfId="0" applyFont="1" applyFill="1" applyBorder="1" applyAlignment="1" applyProtection="1">
      <alignment horizontal="center" vertical="center" wrapText="1"/>
      <protection locked="0"/>
    </xf>
    <xf numFmtId="49" fontId="22" fillId="4" borderId="39" xfId="0" applyNumberFormat="1" applyFont="1" applyFill="1" applyBorder="1" applyAlignment="1">
      <alignment horizontal="center" vertical="center" wrapText="1"/>
    </xf>
    <xf numFmtId="0" fontId="23" fillId="13" borderId="2" xfId="0" applyFont="1" applyFill="1" applyBorder="1" applyAlignment="1">
      <alignment horizontal="center" vertical="center"/>
    </xf>
    <xf numFmtId="0" fontId="20" fillId="0" borderId="0" xfId="0" applyFont="1"/>
    <xf numFmtId="0" fontId="3" fillId="0" borderId="0" xfId="0" applyFont="1"/>
    <xf numFmtId="1" fontId="0" fillId="0" borderId="0" xfId="0" applyNumberFormat="1" applyFont="1"/>
    <xf numFmtId="0" fontId="5" fillId="2" borderId="20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2" borderId="5" xfId="0" applyFont="1" applyFill="1" applyBorder="1" applyAlignment="1">
      <alignment horizontal="center" vertical="center"/>
    </xf>
    <xf numFmtId="0" fontId="28" fillId="4" borderId="11" xfId="0" applyFont="1" applyFill="1" applyBorder="1" applyAlignment="1">
      <alignment horizontal="center" vertical="center"/>
    </xf>
    <xf numFmtId="0" fontId="2" fillId="3" borderId="28" xfId="0" applyFont="1" applyFill="1" applyBorder="1" applyAlignment="1" applyProtection="1">
      <alignment horizontal="center" vertical="center"/>
      <protection locked="0"/>
    </xf>
    <xf numFmtId="0" fontId="28" fillId="4" borderId="2" xfId="0" applyFont="1" applyFill="1" applyBorder="1" applyAlignment="1">
      <alignment horizontal="center" vertical="center"/>
    </xf>
    <xf numFmtId="0" fontId="13" fillId="3" borderId="30" xfId="0" applyFont="1" applyFill="1" applyBorder="1" applyAlignment="1" applyProtection="1">
      <alignment horizontal="center" vertical="center"/>
      <protection locked="0"/>
    </xf>
    <xf numFmtId="0" fontId="13" fillId="4" borderId="35" xfId="0" applyFont="1" applyFill="1" applyBorder="1" applyAlignment="1">
      <alignment horizontal="center" vertical="center"/>
    </xf>
    <xf numFmtId="1" fontId="2" fillId="2" borderId="35" xfId="0" applyNumberFormat="1" applyFont="1" applyFill="1" applyBorder="1" applyAlignment="1">
      <alignment horizontal="center" vertical="center"/>
    </xf>
    <xf numFmtId="0" fontId="28" fillId="4" borderId="2" xfId="0" applyFont="1" applyFill="1" applyBorder="1" applyAlignment="1">
      <alignment horizontal="center" vertical="center" wrapText="1"/>
    </xf>
    <xf numFmtId="0" fontId="13" fillId="4" borderId="38" xfId="0" applyFont="1" applyFill="1" applyBorder="1" applyAlignment="1">
      <alignment horizontal="center" vertical="center"/>
    </xf>
    <xf numFmtId="1" fontId="2" fillId="2" borderId="38" xfId="0" applyNumberFormat="1" applyFont="1" applyFill="1" applyBorder="1" applyAlignment="1">
      <alignment horizontal="center" vertical="center"/>
    </xf>
    <xf numFmtId="0" fontId="2" fillId="3" borderId="30" xfId="0" applyFont="1" applyFill="1" applyBorder="1" applyAlignment="1" applyProtection="1">
      <alignment horizontal="center" vertical="center"/>
      <protection locked="0"/>
    </xf>
    <xf numFmtId="164" fontId="5" fillId="4" borderId="2" xfId="0" applyNumberFormat="1" applyFont="1" applyFill="1" applyBorder="1" applyAlignment="1">
      <alignment horizontal="center" vertical="center" wrapText="1"/>
    </xf>
    <xf numFmtId="1" fontId="6" fillId="6" borderId="2" xfId="0" applyNumberFormat="1" applyFont="1" applyFill="1" applyBorder="1" applyAlignment="1">
      <alignment horizontal="center" vertical="center"/>
    </xf>
    <xf numFmtId="164" fontId="5" fillId="4" borderId="30" xfId="0" applyNumberFormat="1" applyFont="1" applyFill="1" applyBorder="1" applyAlignment="1">
      <alignment horizontal="center" vertical="center" wrapText="1"/>
    </xf>
    <xf numFmtId="1" fontId="5" fillId="2" borderId="5" xfId="0" applyNumberFormat="1" applyFont="1" applyFill="1" applyBorder="1" applyAlignment="1">
      <alignment horizontal="center" vertical="center"/>
    </xf>
    <xf numFmtId="0" fontId="2" fillId="3" borderId="37" xfId="0" applyFont="1" applyFill="1" applyBorder="1" applyAlignment="1" applyProtection="1">
      <alignment horizontal="center" vertical="center"/>
      <protection locked="0"/>
    </xf>
    <xf numFmtId="0" fontId="5" fillId="4" borderId="40" xfId="0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/>
    </xf>
    <xf numFmtId="0" fontId="30" fillId="2" borderId="5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5" fillId="4" borderId="30" xfId="0" applyFont="1" applyFill="1" applyBorder="1" applyAlignment="1">
      <alignment horizontal="center" vertical="center"/>
    </xf>
    <xf numFmtId="164" fontId="13" fillId="4" borderId="2" xfId="0" applyNumberFormat="1" applyFont="1" applyFill="1" applyBorder="1" applyAlignment="1">
      <alignment horizontal="center" vertical="center"/>
    </xf>
    <xf numFmtId="0" fontId="13" fillId="4" borderId="30" xfId="0" applyFont="1" applyFill="1" applyBorder="1" applyAlignment="1">
      <alignment horizontal="center" vertical="center"/>
    </xf>
    <xf numFmtId="0" fontId="5" fillId="4" borderId="39" xfId="0" applyFont="1" applyFill="1" applyBorder="1" applyAlignment="1">
      <alignment horizontal="center" vertical="center"/>
    </xf>
    <xf numFmtId="164" fontId="13" fillId="4" borderId="30" xfId="0" applyNumberFormat="1" applyFont="1" applyFill="1" applyBorder="1" applyAlignment="1">
      <alignment horizontal="center" vertical="center"/>
    </xf>
    <xf numFmtId="1" fontId="5" fillId="2" borderId="5" xfId="0" applyNumberFormat="1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28" xfId="0" applyFont="1" applyFill="1" applyBorder="1" applyAlignment="1">
      <alignment horizontal="center"/>
    </xf>
    <xf numFmtId="2" fontId="5" fillId="2" borderId="5" xfId="0" applyNumberFormat="1" applyFont="1" applyFill="1" applyBorder="1" applyAlignment="1">
      <alignment horizontal="center"/>
    </xf>
    <xf numFmtId="1" fontId="13" fillId="2" borderId="5" xfId="0" applyNumberFormat="1" applyFont="1" applyFill="1" applyBorder="1" applyAlignment="1">
      <alignment horizontal="center"/>
    </xf>
    <xf numFmtId="0" fontId="31" fillId="2" borderId="5" xfId="0" applyFont="1" applyFill="1" applyBorder="1" applyAlignment="1">
      <alignment horizontal="center"/>
    </xf>
    <xf numFmtId="0" fontId="32" fillId="2" borderId="5" xfId="0" applyFont="1" applyFill="1" applyBorder="1" applyAlignment="1">
      <alignment horizontal="center"/>
    </xf>
    <xf numFmtId="0" fontId="13" fillId="2" borderId="43" xfId="0" applyFont="1" applyFill="1" applyBorder="1" applyAlignment="1">
      <alignment horizontal="center"/>
    </xf>
    <xf numFmtId="0" fontId="13" fillId="2" borderId="44" xfId="0" applyFont="1" applyFill="1" applyBorder="1" applyAlignment="1">
      <alignment horizontal="center"/>
    </xf>
    <xf numFmtId="0" fontId="13" fillId="2" borderId="45" xfId="0" applyFont="1" applyFill="1" applyBorder="1" applyAlignment="1">
      <alignment horizontal="center"/>
    </xf>
    <xf numFmtId="2" fontId="13" fillId="2" borderId="5" xfId="0" applyNumberFormat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16" borderId="30" xfId="0" applyFont="1" applyFill="1" applyBorder="1" applyAlignment="1" applyProtection="1">
      <alignment horizontal="center" vertical="center"/>
    </xf>
    <xf numFmtId="1" fontId="23" fillId="13" borderId="30" xfId="0" applyNumberFormat="1" applyFont="1" applyFill="1" applyBorder="1" applyAlignment="1" applyProtection="1">
      <alignment horizontal="center" vertical="center"/>
    </xf>
    <xf numFmtId="164" fontId="34" fillId="9" borderId="5" xfId="0" applyNumberFormat="1" applyFont="1" applyFill="1" applyBorder="1" applyAlignment="1" applyProtection="1">
      <alignment horizontal="center" wrapText="1"/>
    </xf>
    <xf numFmtId="164" fontId="2" fillId="12" borderId="11" xfId="0" applyNumberFormat="1" applyFont="1" applyFill="1" applyBorder="1" applyAlignment="1" applyProtection="1">
      <alignment horizontal="right"/>
    </xf>
    <xf numFmtId="164" fontId="2" fillId="4" borderId="11" xfId="0" applyNumberFormat="1" applyFont="1" applyFill="1" applyBorder="1" applyAlignment="1" applyProtection="1">
      <alignment horizontal="center"/>
    </xf>
    <xf numFmtId="164" fontId="13" fillId="5" borderId="11" xfId="0" applyNumberFormat="1" applyFont="1" applyFill="1" applyBorder="1" applyAlignment="1" applyProtection="1">
      <alignment horizontal="center"/>
    </xf>
    <xf numFmtId="164" fontId="6" fillId="5" borderId="11" xfId="0" applyNumberFormat="1" applyFont="1" applyFill="1" applyBorder="1" applyProtection="1"/>
    <xf numFmtId="164" fontId="2" fillId="12" borderId="2" xfId="0" applyNumberFormat="1" applyFont="1" applyFill="1" applyBorder="1" applyAlignment="1" applyProtection="1">
      <alignment horizontal="right"/>
    </xf>
    <xf numFmtId="164" fontId="2" fillId="4" borderId="2" xfId="0" applyNumberFormat="1" applyFont="1" applyFill="1" applyBorder="1" applyAlignment="1" applyProtection="1">
      <alignment horizontal="center"/>
    </xf>
    <xf numFmtId="164" fontId="13" fillId="5" borderId="2" xfId="0" applyNumberFormat="1" applyFont="1" applyFill="1" applyBorder="1" applyAlignment="1" applyProtection="1">
      <alignment horizontal="center"/>
    </xf>
    <xf numFmtId="0" fontId="26" fillId="2" borderId="46" xfId="0" applyFont="1" applyFill="1" applyBorder="1" applyAlignment="1">
      <alignment horizontal="center" vertical="center" wrapText="1"/>
    </xf>
    <xf numFmtId="0" fontId="3" fillId="0" borderId="46" xfId="0" applyFont="1" applyBorder="1"/>
    <xf numFmtId="0" fontId="6" fillId="6" borderId="30" xfId="0" applyFont="1" applyFill="1" applyBorder="1" applyAlignment="1">
      <alignment horizontal="left" vertical="center"/>
    </xf>
    <xf numFmtId="0" fontId="3" fillId="0" borderId="31" xfId="0" applyFont="1" applyBorder="1"/>
    <xf numFmtId="0" fontId="2" fillId="2" borderId="39" xfId="0" applyFont="1" applyFill="1" applyBorder="1" applyAlignment="1">
      <alignment horizontal="center" vertical="center" wrapText="1"/>
    </xf>
    <xf numFmtId="0" fontId="26" fillId="2" borderId="5" xfId="0" applyFont="1" applyFill="1" applyBorder="1" applyAlignment="1">
      <alignment horizontal="center" wrapText="1"/>
    </xf>
    <xf numFmtId="0" fontId="3" fillId="0" borderId="5" xfId="0" applyFont="1" applyBorder="1"/>
    <xf numFmtId="0" fontId="13" fillId="6" borderId="40" xfId="0" applyFont="1" applyFill="1" applyBorder="1" applyAlignment="1">
      <alignment horizontal="center" vertical="center"/>
    </xf>
    <xf numFmtId="0" fontId="3" fillId="0" borderId="41" xfId="0" applyFont="1" applyBorder="1"/>
    <xf numFmtId="0" fontId="3" fillId="0" borderId="42" xfId="0" applyFont="1" applyBorder="1" applyAlignment="1">
      <alignment wrapText="1"/>
    </xf>
    <xf numFmtId="0" fontId="3" fillId="0" borderId="40" xfId="0" applyFont="1" applyBorder="1"/>
    <xf numFmtId="0" fontId="24" fillId="4" borderId="19" xfId="0" applyFont="1" applyFill="1" applyBorder="1" applyAlignment="1">
      <alignment horizontal="center"/>
    </xf>
    <xf numFmtId="0" fontId="3" fillId="0" borderId="19" xfId="0" applyFont="1" applyBorder="1"/>
    <xf numFmtId="0" fontId="25" fillId="2" borderId="22" xfId="0" applyFont="1" applyFill="1" applyBorder="1" applyAlignment="1">
      <alignment horizontal="center" vertical="center" wrapText="1"/>
    </xf>
    <xf numFmtId="0" fontId="3" fillId="0" borderId="23" xfId="0" applyFont="1" applyBorder="1"/>
    <xf numFmtId="0" fontId="3" fillId="0" borderId="29" xfId="0" applyFont="1" applyBorder="1"/>
    <xf numFmtId="0" fontId="26" fillId="2" borderId="22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wrapText="1"/>
    </xf>
    <xf numFmtId="0" fontId="26" fillId="2" borderId="25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wrapText="1"/>
    </xf>
    <xf numFmtId="0" fontId="13" fillId="6" borderId="27" xfId="0" applyFont="1" applyFill="1" applyBorder="1" applyAlignment="1">
      <alignment horizontal="center" vertical="center"/>
    </xf>
    <xf numFmtId="0" fontId="3" fillId="0" borderId="33" xfId="0" applyFont="1" applyBorder="1"/>
    <xf numFmtId="49" fontId="21" fillId="6" borderId="30" xfId="0" applyNumberFormat="1" applyFont="1" applyFill="1" applyBorder="1" applyAlignment="1">
      <alignment horizontal="center" vertical="center" wrapText="1"/>
    </xf>
    <xf numFmtId="49" fontId="21" fillId="6" borderId="32" xfId="0" applyNumberFormat="1" applyFont="1" applyFill="1" applyBorder="1" applyAlignment="1">
      <alignment horizontal="center" vertical="center" wrapText="1"/>
    </xf>
    <xf numFmtId="0" fontId="3" fillId="0" borderId="32" xfId="0" applyFont="1" applyBorder="1"/>
    <xf numFmtId="0" fontId="25" fillId="2" borderId="34" xfId="0" applyFont="1" applyFill="1" applyBorder="1" applyAlignment="1">
      <alignment horizontal="center" vertical="center" wrapText="1"/>
    </xf>
    <xf numFmtId="0" fontId="3" fillId="0" borderId="34" xfId="0" applyFont="1" applyBorder="1"/>
    <xf numFmtId="164" fontId="18" fillId="13" borderId="17" xfId="0" applyNumberFormat="1" applyFont="1" applyFill="1" applyBorder="1" applyAlignment="1">
      <alignment horizontal="center" vertical="center" wrapText="1"/>
    </xf>
    <xf numFmtId="164" fontId="18" fillId="13" borderId="17" xfId="0" applyNumberFormat="1" applyFont="1" applyFill="1" applyBorder="1" applyAlignment="1">
      <alignment horizontal="center" vertical="center"/>
    </xf>
    <xf numFmtId="164" fontId="5" fillId="8" borderId="17" xfId="0" applyNumberFormat="1" applyFont="1" applyFill="1" applyBorder="1" applyAlignment="1">
      <alignment horizontal="center"/>
    </xf>
    <xf numFmtId="0" fontId="0" fillId="8" borderId="17" xfId="0" applyFont="1" applyFill="1" applyBorder="1" applyAlignment="1"/>
    <xf numFmtId="164" fontId="0" fillId="7" borderId="5" xfId="0" applyNumberFormat="1" applyFont="1" applyFill="1" applyBorder="1" applyAlignment="1">
      <alignment horizontal="center"/>
    </xf>
    <xf numFmtId="0" fontId="3" fillId="8" borderId="17" xfId="0" applyFont="1" applyFill="1" applyBorder="1"/>
    <xf numFmtId="164" fontId="18" fillId="15" borderId="18" xfId="0" applyNumberFormat="1" applyFont="1" applyFill="1" applyBorder="1" applyAlignment="1">
      <alignment horizontal="center"/>
    </xf>
    <xf numFmtId="0" fontId="16" fillId="15" borderId="18" xfId="0" applyFont="1" applyFill="1" applyBorder="1" applyAlignment="1"/>
    <xf numFmtId="164" fontId="18" fillId="7" borderId="13" xfId="0" applyNumberFormat="1" applyFont="1" applyFill="1" applyBorder="1" applyAlignment="1">
      <alignment horizontal="center" vertical="center"/>
    </xf>
    <xf numFmtId="164" fontId="18" fillId="7" borderId="14" xfId="0" applyNumberFormat="1" applyFont="1" applyFill="1" applyBorder="1" applyAlignment="1">
      <alignment horizontal="center" vertical="center"/>
    </xf>
    <xf numFmtId="164" fontId="18" fillId="10" borderId="17" xfId="0" applyNumberFormat="1" applyFont="1" applyFill="1" applyBorder="1" applyAlignment="1">
      <alignment horizontal="center" wrapText="1"/>
    </xf>
    <xf numFmtId="164" fontId="33" fillId="10" borderId="17" xfId="0" applyNumberFormat="1" applyFont="1" applyFill="1" applyBorder="1" applyAlignment="1">
      <alignment horizontal="center" wrapText="1"/>
    </xf>
    <xf numFmtId="164" fontId="15" fillId="5" borderId="17" xfId="0" applyNumberFormat="1" applyFont="1" applyFill="1" applyBorder="1" applyAlignment="1">
      <alignment horizontal="center" vertical="center" wrapText="1"/>
    </xf>
    <xf numFmtId="0" fontId="14" fillId="0" borderId="17" xfId="0" applyFont="1" applyBorder="1" applyAlignment="1">
      <alignment vertical="center"/>
    </xf>
    <xf numFmtId="164" fontId="13" fillId="5" borderId="17" xfId="0" applyNumberFormat="1" applyFont="1" applyFill="1" applyBorder="1" applyAlignment="1">
      <alignment horizontal="center" vertical="center" wrapText="1"/>
    </xf>
    <xf numFmtId="0" fontId="3" fillId="0" borderId="17" xfId="0" applyFont="1" applyBorder="1" applyAlignment="1">
      <alignment vertical="center" wrapText="1"/>
    </xf>
    <xf numFmtId="164" fontId="7" fillId="6" borderId="5" xfId="0" applyNumberFormat="1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8" fillId="2" borderId="3" xfId="0" applyFont="1" applyFill="1" applyBorder="1" applyAlignment="1">
      <alignment horizontal="center"/>
    </xf>
    <xf numFmtId="0" fontId="3" fillId="0" borderId="4" xfId="0" applyFont="1" applyBorder="1"/>
  </cellXfs>
  <cellStyles count="1">
    <cellStyle name="Normal" xfId="0" builtinId="0"/>
  </cellStyles>
  <dxfs count="13">
    <dxf>
      <numFmt numFmtId="1" formatCode="0"/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4F81BD"/>
          <bgColor rgb="FF4F81BD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4F81BD"/>
          <bgColor rgb="FF4F81BD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4F81BD"/>
          <bgColor rgb="FF4F81BD"/>
        </patternFill>
      </fill>
    </dxf>
  </dxfs>
  <tableStyles count="3" defaultTableStyle="TableStyleMedium2" defaultPivotStyle="PivotStyleLight16">
    <tableStyle name="Choice Food Calculations-style" pivot="0" count="3">
      <tableStyleElement type="headerRow" dxfId="12"/>
      <tableStyleElement type="firstRowStripe" dxfId="11"/>
      <tableStyleElement type="secondRowStripe" dxfId="10"/>
    </tableStyle>
    <tableStyle name="Choice Food Calculations-style 10" pivot="0" count="3">
      <tableStyleElement type="headerRow" dxfId="9"/>
      <tableStyleElement type="firstRowStripe" dxfId="8"/>
      <tableStyleElement type="secondRowStripe" dxfId="7"/>
    </tableStyle>
    <tableStyle name="Choice Food Calculations-style 2" pivot="0" count="3">
      <tableStyleElement type="headerRow" dxfId="6"/>
      <tableStyleElement type="firstRowStripe" dxfId="5"/>
      <tableStyleElement type="secondRowStripe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12</xdr:row>
      <xdr:rowOff>266700</xdr:rowOff>
    </xdr:from>
    <xdr:ext cx="15297150" cy="9515475"/>
    <xdr:sp macro="" textlink="">
      <xdr:nvSpPr>
        <xdr:cNvPr id="2" name="Shape 3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0" y="3829050"/>
          <a:ext cx="15297150" cy="9515475"/>
        </a:xfrm>
        <a:prstGeom prst="rect">
          <a:avLst/>
        </a:prstGeom>
        <a:solidFill>
          <a:schemeClr val="dk1"/>
        </a:solidFill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rgbClr val="FF0000"/>
            </a:buClr>
            <a:buSzPts val="1400"/>
            <a:buFont typeface="Calibri"/>
            <a:buNone/>
          </a:pPr>
          <a:r>
            <a:rPr lang="en-US" sz="1400" b="1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WHAT IS YOUR BODY TYPE?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rgbClr val="FF0000"/>
            </a:buClr>
            <a:buSzPts val="1400"/>
            <a:buFont typeface="Calibri"/>
            <a:buNone/>
          </a:pPr>
          <a:r>
            <a:rPr lang="en-US" sz="1400" b="1" u="sng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Type I:</a:t>
          </a:r>
          <a:r>
            <a:rPr lang="en-US" sz="1400" b="1" u="sng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 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 b="1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These are thin individuals characterized by smaller bone structures and thinner limbs. 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 b="1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Think of a typical endurance athlete.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 b="1">
            <a:solidFill>
              <a:schemeClr val="lt1"/>
            </a:solidFill>
            <a:latin typeface="Calibri"/>
            <a:ea typeface="Calibri"/>
            <a:cs typeface="Calibri"/>
            <a:sym typeface="Calibri"/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rgbClr val="FF0000"/>
            </a:buClr>
            <a:buSzPts val="1400"/>
            <a:buFont typeface="Calibri"/>
            <a:buNone/>
          </a:pPr>
          <a:r>
            <a:rPr lang="en-US" sz="1400" b="1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Typical traits of Type I:</a:t>
          </a:r>
          <a:endParaRPr sz="1400">
            <a:solidFill>
              <a:srgbClr val="FF0000"/>
            </a:solidFill>
            <a:latin typeface="Calibri"/>
            <a:ea typeface="Calibri"/>
            <a:cs typeface="Calibri"/>
            <a:sym typeface="Calibri"/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Small “delicate” frame and bone structure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Classic “hard-gainer”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Flat chest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Small shoulders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Thin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Lean muscle mass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Finds it hard to gain weight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Faster metabolism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>
            <a:solidFill>
              <a:schemeClr val="lt1"/>
            </a:solidFill>
            <a:latin typeface="Calibri"/>
            <a:ea typeface="Calibri"/>
            <a:cs typeface="Calibri"/>
            <a:sym typeface="Calibri"/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rgbClr val="FF0000"/>
            </a:buClr>
            <a:buSzPts val="1400"/>
            <a:buFont typeface="Calibri"/>
            <a:buNone/>
          </a:pPr>
          <a:r>
            <a:rPr lang="en-US" sz="1400" b="1" u="sng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Type V:</a:t>
          </a:r>
          <a:r>
            <a:rPr lang="en-US" sz="1400" b="1" u="sng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 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 b="1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These are individuals that have a medium sized bone structure and athletic body,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 b="1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If they’re active, they usually have a considerable amount of lean mass. 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 b="1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Many explosive athletes like wrestlers and gymnasts fit these criteria.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 b="1">
            <a:solidFill>
              <a:schemeClr val="lt1"/>
            </a:solidFill>
            <a:latin typeface="Calibri"/>
            <a:ea typeface="Calibri"/>
            <a:cs typeface="Calibri"/>
            <a:sym typeface="Calibri"/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rgbClr val="FF0000"/>
            </a:buClr>
            <a:buSzPts val="1400"/>
            <a:buFont typeface="Calibri"/>
            <a:buNone/>
          </a:pPr>
          <a:r>
            <a:rPr lang="en-US" sz="1400" b="1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Typical traits of Type V:</a:t>
          </a:r>
          <a:endParaRPr sz="1400">
            <a:solidFill>
              <a:srgbClr val="FF0000"/>
            </a:solidFill>
            <a:latin typeface="Calibri"/>
            <a:ea typeface="Calibri"/>
            <a:cs typeface="Calibri"/>
            <a:sym typeface="Calibri"/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Athletic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Generally hard body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Well defined muscles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Rectangular shaped body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Strong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Gains muscle easily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Gains fat more easily than ectomorphs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>
            <a:solidFill>
              <a:schemeClr val="lt1"/>
            </a:solidFill>
            <a:latin typeface="Calibri"/>
            <a:ea typeface="Calibri"/>
            <a:cs typeface="Calibri"/>
            <a:sym typeface="Calibri"/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rgbClr val="FF0000"/>
            </a:buClr>
            <a:buSzPts val="1400"/>
            <a:buFont typeface="Calibri"/>
            <a:buNone/>
          </a:pPr>
          <a:r>
            <a:rPr lang="en-US" sz="1400" b="1" u="sng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Type O:</a:t>
          </a:r>
          <a:r>
            <a:rPr lang="en-US" sz="1400" b="1" u="sng">
              <a:solidFill>
                <a:srgbClr val="00CC00"/>
              </a:solidFill>
              <a:latin typeface="Calibri"/>
              <a:ea typeface="Calibri"/>
              <a:cs typeface="Calibri"/>
              <a:sym typeface="Calibri"/>
            </a:rPr>
            <a:t> 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 b="1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These are individuals that have a larger bone structure with 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 b="1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higher amounts of total body mass and fat mass.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 b="1">
            <a:solidFill>
              <a:schemeClr val="lt1"/>
            </a:solidFill>
            <a:latin typeface="Calibri"/>
            <a:ea typeface="Calibri"/>
            <a:cs typeface="Calibri"/>
            <a:sym typeface="Calibri"/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rgbClr val="FF0000"/>
            </a:buClr>
            <a:buSzPts val="1400"/>
            <a:buFont typeface="Calibri"/>
            <a:buNone/>
          </a:pPr>
          <a:r>
            <a:rPr lang="en-US" sz="1400" b="1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Typical traits of Type O:</a:t>
          </a:r>
          <a:endParaRPr sz="1400">
            <a:solidFill>
              <a:srgbClr val="FF0000"/>
            </a:solidFill>
            <a:latin typeface="Calibri"/>
            <a:ea typeface="Calibri"/>
            <a:cs typeface="Calibri"/>
            <a:sym typeface="Calibri"/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Soft and round body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Gains muscle and fat very easily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Is generally short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"Stocky" build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Round physique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Finds it hard to lose fat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Slow metabolism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Muscles not so well defined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>
            <a:solidFill>
              <a:schemeClr val="lt1"/>
            </a:solidFill>
          </a:endParaRPr>
        </a:p>
      </xdr:txBody>
    </xdr:sp>
    <xdr:clientData/>
  </xdr:oneCellAnchor>
  <xdr:oneCellAnchor>
    <xdr:from>
      <xdr:col>0</xdr:col>
      <xdr:colOff>0</xdr:colOff>
      <xdr:row>0</xdr:row>
      <xdr:rowOff>9525</xdr:rowOff>
    </xdr:from>
    <xdr:ext cx="2085975" cy="2743200"/>
    <xdr:sp macro="" textlink="">
      <xdr:nvSpPr>
        <xdr:cNvPr id="3" name="Shape 4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/>
      </xdr:nvSpPr>
      <xdr:spPr>
        <a:xfrm>
          <a:off x="0" y="9525"/>
          <a:ext cx="2085975" cy="2743200"/>
        </a:xfrm>
        <a:prstGeom prst="rect">
          <a:avLst/>
        </a:prstGeom>
        <a:solidFill>
          <a:schemeClr val="dk1"/>
        </a:solidFill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FF0000"/>
            </a:buClr>
            <a:buSzPts val="1600"/>
            <a:buFont typeface="Calibri"/>
            <a:buNone/>
          </a:pPr>
          <a:r>
            <a:rPr lang="en-US" sz="1600" b="1" u="sng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Activity Level Guide:</a:t>
          </a:r>
          <a:endParaRPr sz="1400" b="1">
            <a:solidFill>
              <a:srgbClr val="FF0000"/>
            </a:solidFill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200"/>
            <a:buFont typeface="Calibri"/>
            <a:buNone/>
          </a:pPr>
          <a:r>
            <a:rPr lang="en-US" sz="1200" b="1" u="sng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1.2</a:t>
          </a:r>
          <a:r>
            <a:rPr lang="en-US" sz="1200" b="1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 - Little to No exercise - Desk Job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200"/>
            <a:buFont typeface="Calibri"/>
            <a:buNone/>
          </a:pPr>
          <a:r>
            <a:rPr lang="en-US" sz="1200" b="1" u="sng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1.4</a:t>
          </a:r>
          <a:r>
            <a:rPr lang="en-US" sz="1200" b="1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 - light exercise 1-3 days/week - Lightly Active, Some standing and walking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200"/>
            <a:buFont typeface="Calibri"/>
            <a:buNone/>
          </a:pPr>
          <a:r>
            <a:rPr lang="en-US" sz="1200" b="1" u="sng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1.6</a:t>
          </a:r>
          <a:r>
            <a:rPr lang="en-US" sz="1200" b="1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 - moderate exercise 3-5 days/week - On feet most of the day - Sales rep</a:t>
          </a:r>
          <a:endParaRPr sz="1200" b="1">
            <a:solidFill>
              <a:srgbClr val="FF0000"/>
            </a:solidFill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200"/>
            <a:buFont typeface="Calibri"/>
            <a:buNone/>
          </a:pPr>
          <a:r>
            <a:rPr lang="en-US" sz="1200" b="1" u="sng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1.8</a:t>
          </a:r>
          <a:r>
            <a:rPr lang="en-US" sz="1200" b="1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 - Hard exercise 6-7 days/week - Hard daily activity -  Construction Worker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200"/>
            <a:buFont typeface="Calibri"/>
            <a:buNone/>
          </a:pPr>
          <a:r>
            <a:rPr lang="en-US" sz="1200" b="1" u="sng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2.0</a:t>
          </a:r>
          <a:r>
            <a:rPr lang="en-US" sz="1200" b="1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 - very hard exercise + physcial job or 2x training - Professional Athlete</a:t>
          </a:r>
          <a:endParaRPr sz="1200" b="1">
            <a:solidFill>
              <a:srgbClr val="FF0000"/>
            </a:solidFill>
          </a:endParaRPr>
        </a:p>
      </xdr:txBody>
    </xdr:sp>
    <xdr:clientData/>
  </xdr:oneCellAnchor>
  <xdr:oneCellAnchor>
    <xdr:from>
      <xdr:col>0</xdr:col>
      <xdr:colOff>923925</xdr:colOff>
      <xdr:row>11</xdr:row>
      <xdr:rowOff>104775</xdr:rowOff>
    </xdr:from>
    <xdr:ext cx="3114675" cy="2362200"/>
    <xdr:pic>
      <xdr:nvPicPr>
        <xdr:cNvPr id="4" name="image1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23925" y="3467100"/>
          <a:ext cx="3114675" cy="2362200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12</xdr:row>
      <xdr:rowOff>266700</xdr:rowOff>
    </xdr:from>
    <xdr:ext cx="15297150" cy="9515475"/>
    <xdr:sp macro="" textlink="">
      <xdr:nvSpPr>
        <xdr:cNvPr id="5" name="Shape 3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0" y="3829050"/>
          <a:ext cx="15297150" cy="9515475"/>
        </a:xfrm>
        <a:prstGeom prst="rect">
          <a:avLst/>
        </a:prstGeom>
        <a:solidFill>
          <a:schemeClr val="dk1"/>
        </a:solidFill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rgbClr val="FF0000"/>
            </a:buClr>
            <a:buSzPts val="1400"/>
            <a:buFont typeface="Calibri"/>
            <a:buNone/>
          </a:pPr>
          <a:r>
            <a:rPr lang="en-US" sz="1400" b="1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WHAT IS YOUR BODY TYPE?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rgbClr val="FF0000"/>
            </a:buClr>
            <a:buSzPts val="1400"/>
            <a:buFont typeface="Calibri"/>
            <a:buNone/>
          </a:pPr>
          <a:r>
            <a:rPr lang="en-US" sz="1400" b="1" u="sng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Type I:</a:t>
          </a:r>
          <a:r>
            <a:rPr lang="en-US" sz="1400" b="1" u="sng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 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 b="1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These are thin individuals characterized by smaller bone structures and thinner limbs. 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 b="1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Think of a typical endurance athlete.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 b="1">
            <a:solidFill>
              <a:schemeClr val="lt1"/>
            </a:solidFill>
            <a:latin typeface="Calibri"/>
            <a:ea typeface="Calibri"/>
            <a:cs typeface="Calibri"/>
            <a:sym typeface="Calibri"/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rgbClr val="FF0000"/>
            </a:buClr>
            <a:buSzPts val="1400"/>
            <a:buFont typeface="Calibri"/>
            <a:buNone/>
          </a:pPr>
          <a:r>
            <a:rPr lang="en-US" sz="1400" b="1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Typical traits of Type I:</a:t>
          </a:r>
          <a:endParaRPr sz="1400">
            <a:solidFill>
              <a:srgbClr val="FF0000"/>
            </a:solidFill>
            <a:latin typeface="Calibri"/>
            <a:ea typeface="Calibri"/>
            <a:cs typeface="Calibri"/>
            <a:sym typeface="Calibri"/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Small “delicate” frame and bone structure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Classic “hard-gainer”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Flat chest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Small shoulders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Thin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Lean muscle mass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Finds it hard to gain weight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Faster metabolism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>
            <a:solidFill>
              <a:schemeClr val="lt1"/>
            </a:solidFill>
            <a:latin typeface="Calibri"/>
            <a:ea typeface="Calibri"/>
            <a:cs typeface="Calibri"/>
            <a:sym typeface="Calibri"/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rgbClr val="FF0000"/>
            </a:buClr>
            <a:buSzPts val="1400"/>
            <a:buFont typeface="Calibri"/>
            <a:buNone/>
          </a:pPr>
          <a:r>
            <a:rPr lang="en-US" sz="1400" b="1" u="sng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Type V:</a:t>
          </a:r>
          <a:r>
            <a:rPr lang="en-US" sz="1400" b="1" u="sng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 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 b="1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These are individuals that have a medium sized bone structure and athletic body,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 b="1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If they’re active, they usually have a considerable amount of lean mass. 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 b="1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Many explosive athletes like wrestlers and gymnasts fit these criteria.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 b="1">
            <a:solidFill>
              <a:schemeClr val="lt1"/>
            </a:solidFill>
            <a:latin typeface="Calibri"/>
            <a:ea typeface="Calibri"/>
            <a:cs typeface="Calibri"/>
            <a:sym typeface="Calibri"/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rgbClr val="FF0000"/>
            </a:buClr>
            <a:buSzPts val="1400"/>
            <a:buFont typeface="Calibri"/>
            <a:buNone/>
          </a:pPr>
          <a:r>
            <a:rPr lang="en-US" sz="1400" b="1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Typical traits of Type V:</a:t>
          </a:r>
          <a:endParaRPr sz="1400">
            <a:solidFill>
              <a:srgbClr val="FF0000"/>
            </a:solidFill>
            <a:latin typeface="Calibri"/>
            <a:ea typeface="Calibri"/>
            <a:cs typeface="Calibri"/>
            <a:sym typeface="Calibri"/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Athletic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Generally hard body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Well defined muscles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Rectangular shaped body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Strong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Gains muscle easily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Gains fat more easily than ectomorphs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>
            <a:solidFill>
              <a:schemeClr val="lt1"/>
            </a:solidFill>
            <a:latin typeface="Calibri"/>
            <a:ea typeface="Calibri"/>
            <a:cs typeface="Calibri"/>
            <a:sym typeface="Calibri"/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rgbClr val="FF0000"/>
            </a:buClr>
            <a:buSzPts val="1400"/>
            <a:buFont typeface="Calibri"/>
            <a:buNone/>
          </a:pPr>
          <a:r>
            <a:rPr lang="en-US" sz="1400" b="1" u="sng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Type O:</a:t>
          </a:r>
          <a:r>
            <a:rPr lang="en-US" sz="1400" b="1" u="sng">
              <a:solidFill>
                <a:srgbClr val="00CC00"/>
              </a:solidFill>
              <a:latin typeface="Calibri"/>
              <a:ea typeface="Calibri"/>
              <a:cs typeface="Calibri"/>
              <a:sym typeface="Calibri"/>
            </a:rPr>
            <a:t> 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 b="1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These are individuals that have a larger bone structure with 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 b="1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higher amounts of total body mass and fat mass.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 b="1">
            <a:solidFill>
              <a:schemeClr val="lt1"/>
            </a:solidFill>
            <a:latin typeface="Calibri"/>
            <a:ea typeface="Calibri"/>
            <a:cs typeface="Calibri"/>
            <a:sym typeface="Calibri"/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rgbClr val="FF0000"/>
            </a:buClr>
            <a:buSzPts val="1400"/>
            <a:buFont typeface="Calibri"/>
            <a:buNone/>
          </a:pPr>
          <a:r>
            <a:rPr lang="en-US" sz="1400" b="1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Typical traits of Type O:</a:t>
          </a:r>
          <a:endParaRPr sz="1400">
            <a:solidFill>
              <a:srgbClr val="FF0000"/>
            </a:solidFill>
            <a:latin typeface="Calibri"/>
            <a:ea typeface="Calibri"/>
            <a:cs typeface="Calibri"/>
            <a:sym typeface="Calibri"/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Soft and round body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Gains muscle and fat very easily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Is generally short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"Stocky" build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Round physique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Finds it hard to lose fat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Slow metabolism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Muscles not so well defined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>
            <a:solidFill>
              <a:schemeClr val="lt1"/>
            </a:solidFill>
          </a:endParaRPr>
        </a:p>
      </xdr:txBody>
    </xdr:sp>
    <xdr:clientData/>
  </xdr:oneCellAnchor>
  <xdr:oneCellAnchor>
    <xdr:from>
      <xdr:col>0</xdr:col>
      <xdr:colOff>923925</xdr:colOff>
      <xdr:row>11</xdr:row>
      <xdr:rowOff>104775</xdr:rowOff>
    </xdr:from>
    <xdr:ext cx="3114675" cy="2362200"/>
    <xdr:pic>
      <xdr:nvPicPr>
        <xdr:cNvPr id="7" name="image1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23925" y="3467100"/>
          <a:ext cx="3114675" cy="2362200"/>
        </a:xfrm>
        <a:prstGeom prst="rect">
          <a:avLst/>
        </a:prstGeom>
        <a:noFill/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333376</xdr:colOff>
      <xdr:row>0</xdr:row>
      <xdr:rowOff>100012</xdr:rowOff>
    </xdr:from>
    <xdr:ext cx="2012156" cy="1360488"/>
    <xdr:pic>
      <xdr:nvPicPr>
        <xdr:cNvPr id="2" name="image1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33376" y="100012"/>
          <a:ext cx="2012156" cy="1360488"/>
        </a:xfrm>
        <a:prstGeom prst="rect">
          <a:avLst/>
        </a:prstGeom>
        <a:noFill/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Russo\Downloads\Week-1-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 - Wk 1 - 2"/>
      <sheetName val="Wk 1 - 2 - Meal Layout"/>
      <sheetName val="Choice Food Calculations"/>
    </sheetNames>
    <sheetDataSet>
      <sheetData sheetId="0"/>
      <sheetData sheetId="1" refreshError="1"/>
      <sheetData sheetId="2">
        <row r="54">
          <cell r="A54" t="str">
            <v>Type I</v>
          </cell>
        </row>
        <row r="55">
          <cell r="A55" t="str">
            <v>Type V</v>
          </cell>
        </row>
        <row r="56">
          <cell r="A56" t="str">
            <v>Type O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e_1" displayName="Table_1" ref="Q25:S28">
  <tableColumns count="3">
    <tableColumn id="1" name="BodyType"/>
    <tableColumn id="2" name="Protein"/>
    <tableColumn id="3" name="Fat"/>
  </tableColumns>
  <tableStyleInfo name="Choice Food Calculations-style" showFirstColumn="1" showLastColumn="1" showRowStripes="1" showColumnStripes="0"/>
</table>
</file>

<file path=xl/tables/table2.xml><?xml version="1.0" encoding="utf-8"?>
<table xmlns="http://schemas.openxmlformats.org/spreadsheetml/2006/main" id="2" name="Table_2" displayName="Table_2" ref="Q30:R32">
  <tableColumns count="2">
    <tableColumn id="1" name="Gender"/>
    <tableColumn id="2" name="BMR Calculator"/>
  </tableColumns>
  <tableStyleInfo name="Choice Food Calculations-style 2" showFirstColumn="1" showLastColumn="1" showRowStripes="1" showColumnStripes="0"/>
</table>
</file>

<file path=xl/tables/table3.xml><?xml version="1.0" encoding="utf-8"?>
<table xmlns="http://schemas.openxmlformats.org/spreadsheetml/2006/main" id="3" name="Table_112" displayName="Table_112" ref="U25:W28">
  <tableColumns count="3">
    <tableColumn id="1" name="BodyType"/>
    <tableColumn id="2" name="Protein"/>
    <tableColumn id="3" name="Fat"/>
  </tableColumns>
  <tableStyleInfo name="Choice Food Calculations-style" showFirstColumn="1" showLastColumn="1" showRowStripes="1" showColumnStripes="0"/>
</table>
</file>

<file path=xl/tables/table4.xml><?xml version="1.0" encoding="utf-8"?>
<table xmlns="http://schemas.openxmlformats.org/spreadsheetml/2006/main" id="4" name="Table_10" displayName="Table_10" ref="Q35:R38">
  <tableColumns count="2">
    <tableColumn id="1" name="Goal"/>
    <tableColumn id="2" name="Calories" dataDxfId="0">
      <calculatedColumnFormula>('Information - wk 4 &amp; 5'!B9*'Information - wk 4 &amp; 5'!I7)*0.8</calculatedColumnFormula>
    </tableColumn>
  </tableColumns>
  <tableStyleInfo name="Choice Food Calculations-style 10" showFirstColumn="1" showLastColumn="1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C1000"/>
  <sheetViews>
    <sheetView tabSelected="1" zoomScale="80" zoomScaleNormal="80" workbookViewId="0">
      <selection activeCell="I3" sqref="I3"/>
    </sheetView>
  </sheetViews>
  <sheetFormatPr defaultColWidth="0" defaultRowHeight="15" customHeight="1" zeroHeight="1" x14ac:dyDescent="0.25"/>
  <cols>
    <col min="1" max="1" width="28.28515625" style="43" customWidth="1"/>
    <col min="2" max="2" width="2.140625" style="43" customWidth="1"/>
    <col min="3" max="4" width="0.42578125" style="43" customWidth="1"/>
    <col min="5" max="5" width="0.140625" style="43" customWidth="1"/>
    <col min="6" max="6" width="5" style="43" hidden="1" customWidth="1"/>
    <col min="7" max="7" width="3.7109375" style="43" customWidth="1"/>
    <col min="8" max="8" width="23.5703125" style="43" customWidth="1"/>
    <col min="9" max="9" width="18.85546875" style="43" customWidth="1"/>
    <col min="10" max="10" width="19.85546875" style="43" customWidth="1"/>
    <col min="11" max="11" width="18.42578125" style="43" customWidth="1"/>
    <col min="12" max="12" width="33" style="43" customWidth="1"/>
    <col min="13" max="13" width="7.5703125" style="43" bestFit="1" customWidth="1"/>
    <col min="14" max="14" width="36.7109375" style="43" customWidth="1"/>
    <col min="15" max="15" width="7.5703125" style="43" bestFit="1" customWidth="1"/>
    <col min="16" max="18" width="7.5703125" style="43" customWidth="1"/>
    <col min="19" max="19" width="8.7109375" style="43" customWidth="1"/>
    <col min="20" max="29" width="8.7109375" style="43" hidden="1" customWidth="1"/>
    <col min="30" max="16384" width="14.42578125" style="43" hidden="1"/>
  </cols>
  <sheetData>
    <row r="1" spans="1:29" ht="15" customHeight="1" x14ac:dyDescent="0.3">
      <c r="A1" s="62"/>
      <c r="B1" s="62"/>
      <c r="C1" s="62"/>
      <c r="D1" s="62"/>
      <c r="E1" s="62"/>
      <c r="F1" s="62"/>
      <c r="G1" s="62"/>
      <c r="H1" s="62"/>
      <c r="I1" s="62"/>
      <c r="J1" s="139" t="s">
        <v>212</v>
      </c>
      <c r="K1" s="140"/>
      <c r="L1" s="140"/>
      <c r="M1" s="140"/>
      <c r="N1" s="140"/>
      <c r="O1" s="140"/>
      <c r="P1" s="62"/>
      <c r="Q1" s="62"/>
      <c r="R1" s="62"/>
      <c r="S1" s="62"/>
    </row>
    <row r="2" spans="1:29" ht="42" customHeight="1" x14ac:dyDescent="0.25">
      <c r="A2" s="76"/>
      <c r="B2" s="77"/>
      <c r="C2" s="77"/>
      <c r="D2" s="78"/>
      <c r="E2" s="78"/>
      <c r="F2" s="78"/>
      <c r="G2" s="78"/>
      <c r="H2" s="79"/>
      <c r="I2" s="78"/>
      <c r="J2" s="141" t="s">
        <v>301</v>
      </c>
      <c r="K2" s="142"/>
      <c r="L2" s="144" t="s">
        <v>304</v>
      </c>
      <c r="M2" s="145"/>
      <c r="N2" s="146" t="s">
        <v>305</v>
      </c>
      <c r="O2" s="147"/>
      <c r="P2" s="62"/>
      <c r="Q2" s="62"/>
      <c r="R2" s="62"/>
      <c r="S2" s="62"/>
      <c r="T2" s="80"/>
      <c r="U2" s="80"/>
      <c r="V2" s="80"/>
      <c r="W2" s="80"/>
      <c r="X2" s="80"/>
      <c r="Y2" s="80"/>
      <c r="Z2" s="80"/>
      <c r="AA2" s="80"/>
      <c r="AB2" s="80"/>
      <c r="AC2" s="80"/>
    </row>
    <row r="3" spans="1:29" ht="15.75" x14ac:dyDescent="0.25">
      <c r="A3" s="78" t="s">
        <v>0</v>
      </c>
      <c r="B3" s="78">
        <f>I4/2.2</f>
        <v>0</v>
      </c>
      <c r="C3" s="78"/>
      <c r="D3" s="148" t="s">
        <v>213</v>
      </c>
      <c r="E3" s="148" t="s">
        <v>7</v>
      </c>
      <c r="F3" s="148" t="s">
        <v>12</v>
      </c>
      <c r="G3" s="81"/>
      <c r="H3" s="82" t="s">
        <v>214</v>
      </c>
      <c r="I3" s="83"/>
      <c r="J3" s="143"/>
      <c r="K3" s="140"/>
      <c r="L3" s="150" t="s">
        <v>215</v>
      </c>
      <c r="M3" s="131"/>
      <c r="N3" s="151" t="s">
        <v>215</v>
      </c>
      <c r="O3" s="152"/>
      <c r="P3" s="62"/>
      <c r="Q3" s="62"/>
      <c r="R3" s="62"/>
      <c r="S3" s="62"/>
      <c r="T3" s="80"/>
      <c r="U3" s="80"/>
      <c r="V3" s="80"/>
      <c r="W3" s="80"/>
      <c r="X3" s="80"/>
      <c r="Y3" s="80"/>
      <c r="Z3" s="80"/>
      <c r="AA3" s="80"/>
      <c r="AB3" s="80"/>
      <c r="AC3" s="80"/>
    </row>
    <row r="4" spans="1:29" ht="15.75" x14ac:dyDescent="0.25">
      <c r="A4" s="78" t="s">
        <v>10</v>
      </c>
      <c r="B4" s="78">
        <f>I5*2.54</f>
        <v>0</v>
      </c>
      <c r="C4" s="78"/>
      <c r="D4" s="149"/>
      <c r="E4" s="149"/>
      <c r="F4" s="149"/>
      <c r="G4" s="81" t="s">
        <v>13</v>
      </c>
      <c r="H4" s="84" t="s">
        <v>216</v>
      </c>
      <c r="I4" s="85"/>
      <c r="J4" s="153" t="s">
        <v>302</v>
      </c>
      <c r="K4" s="134"/>
      <c r="L4" s="63" t="s">
        <v>47</v>
      </c>
      <c r="M4" s="64">
        <f>I5</f>
        <v>0</v>
      </c>
      <c r="N4" s="65" t="s">
        <v>47</v>
      </c>
      <c r="O4" s="66">
        <f>I5</f>
        <v>0</v>
      </c>
      <c r="P4" s="62"/>
      <c r="Q4" s="62"/>
      <c r="R4" s="62"/>
      <c r="S4" s="62"/>
      <c r="T4" s="80"/>
      <c r="U4" s="80"/>
      <c r="V4" s="80"/>
      <c r="W4" s="80"/>
      <c r="X4" s="80"/>
      <c r="Y4" s="80"/>
      <c r="Z4" s="80"/>
      <c r="AA4" s="80"/>
      <c r="AB4" s="80"/>
      <c r="AC4" s="80"/>
    </row>
    <row r="5" spans="1:29" ht="31.5" x14ac:dyDescent="0.25">
      <c r="A5" s="78" t="s">
        <v>14</v>
      </c>
      <c r="B5" s="78">
        <f>I6</f>
        <v>0</v>
      </c>
      <c r="C5" s="78"/>
      <c r="D5" s="86" t="s">
        <v>15</v>
      </c>
      <c r="E5" s="87" t="e">
        <f>F5/4</f>
        <v>#N/A</v>
      </c>
      <c r="F5" s="87" t="e">
        <f>I9-(F6+F7)</f>
        <v>#N/A</v>
      </c>
      <c r="G5" s="81">
        <v>0.5</v>
      </c>
      <c r="H5" s="88" t="s">
        <v>297</v>
      </c>
      <c r="I5" s="85"/>
      <c r="J5" s="154"/>
      <c r="K5" s="134"/>
      <c r="L5" s="63" t="s">
        <v>217</v>
      </c>
      <c r="M5" s="67"/>
      <c r="N5" s="65" t="s">
        <v>217</v>
      </c>
      <c r="O5" s="68"/>
      <c r="P5" s="62"/>
      <c r="Q5" s="62"/>
      <c r="R5" s="62"/>
      <c r="S5" s="62"/>
      <c r="T5" s="80"/>
      <c r="U5" s="80"/>
      <c r="V5" s="80"/>
      <c r="W5" s="80"/>
      <c r="X5" s="80"/>
      <c r="Y5" s="80"/>
      <c r="Z5" s="80"/>
      <c r="AA5" s="80"/>
      <c r="AB5" s="80"/>
      <c r="AC5" s="80"/>
    </row>
    <row r="6" spans="1:29" ht="24" x14ac:dyDescent="0.25">
      <c r="A6" s="78"/>
      <c r="B6" s="78"/>
      <c r="C6" s="78"/>
      <c r="D6" s="86" t="s">
        <v>9</v>
      </c>
      <c r="E6" s="87" t="e">
        <f>IF(I3="Male",VLOOKUP(I10,Table_1[],2,FALSE), VLOOKUP(I10,Table_112[],2,FALSE))</f>
        <v>#N/A</v>
      </c>
      <c r="F6" s="87" t="e">
        <f>E6*4</f>
        <v>#N/A</v>
      </c>
      <c r="G6" s="81">
        <v>0.3</v>
      </c>
      <c r="H6" s="84" t="s">
        <v>218</v>
      </c>
      <c r="I6" s="85"/>
      <c r="J6" s="154"/>
      <c r="K6" s="134"/>
      <c r="L6" s="63" t="s">
        <v>219</v>
      </c>
      <c r="M6" s="69"/>
      <c r="N6" s="65" t="s">
        <v>220</v>
      </c>
      <c r="O6" s="70"/>
      <c r="P6" s="62"/>
      <c r="Q6" s="62"/>
      <c r="R6" s="62"/>
      <c r="S6" s="62"/>
      <c r="T6" s="80"/>
      <c r="U6" s="80"/>
      <c r="V6" s="80"/>
      <c r="W6" s="80"/>
      <c r="X6" s="80"/>
      <c r="Y6" s="80"/>
      <c r="Z6" s="80"/>
      <c r="AA6" s="80"/>
      <c r="AB6" s="80"/>
      <c r="AC6" s="80"/>
    </row>
    <row r="7" spans="1:29" ht="24" x14ac:dyDescent="0.25">
      <c r="A7" s="78"/>
      <c r="B7" s="78"/>
      <c r="C7" s="78"/>
      <c r="D7" s="89" t="s">
        <v>16</v>
      </c>
      <c r="E7" s="90" t="e">
        <f>IF(I3="Male",VLOOKUP(I10,Table_1[],3,FALSE), VLOOKUP(I10,Table_112[],3,FALSE))</f>
        <v>#N/A</v>
      </c>
      <c r="F7" s="90" t="e">
        <f>E7*9</f>
        <v>#N/A</v>
      </c>
      <c r="G7" s="81">
        <v>0.2</v>
      </c>
      <c r="H7" s="84" t="s">
        <v>221</v>
      </c>
      <c r="I7" s="91"/>
      <c r="J7" s="128" t="s">
        <v>303</v>
      </c>
      <c r="K7" s="129"/>
      <c r="L7" s="71" t="s">
        <v>56</v>
      </c>
      <c r="M7" s="92" t="e">
        <f>86.01*LOG10((M6)-(M5))-70.041*LOG10(M4)+36.76</f>
        <v>#NUM!</v>
      </c>
      <c r="N7" s="65" t="s">
        <v>219</v>
      </c>
      <c r="O7" s="70"/>
      <c r="P7" s="62"/>
      <c r="Q7" s="62"/>
      <c r="R7" s="62"/>
      <c r="S7" s="62"/>
      <c r="T7" s="80"/>
      <c r="U7" s="80"/>
      <c r="V7" s="80"/>
      <c r="W7" s="80"/>
      <c r="X7" s="80"/>
      <c r="Y7" s="80"/>
      <c r="Z7" s="80"/>
      <c r="AA7" s="80"/>
      <c r="AB7" s="80"/>
      <c r="AC7" s="80"/>
    </row>
    <row r="8" spans="1:29" ht="35.25" customHeight="1" x14ac:dyDescent="0.25">
      <c r="A8" s="78"/>
      <c r="B8" s="78"/>
      <c r="C8" s="78"/>
      <c r="D8" s="130" t="s">
        <v>222</v>
      </c>
      <c r="E8" s="131"/>
      <c r="F8" s="93" t="e">
        <f>SUM(F5:F7)</f>
        <v>#N/A</v>
      </c>
      <c r="G8" s="81"/>
      <c r="H8" s="84" t="s">
        <v>223</v>
      </c>
      <c r="I8" s="118" t="str">
        <f>'FOOD SHEET 1'!Q36</f>
        <v>Lose Fat</v>
      </c>
      <c r="J8" s="129"/>
      <c r="K8" s="129"/>
      <c r="L8" s="132" t="s">
        <v>298</v>
      </c>
      <c r="M8" s="131"/>
      <c r="N8" s="71" t="s">
        <v>56</v>
      </c>
      <c r="O8" s="94" t="e">
        <f>163.205*LOG10(O7+O6-O5)-97.684*LOG10(O4)-78.387</f>
        <v>#NUM!</v>
      </c>
      <c r="P8" s="62"/>
      <c r="Q8" s="62"/>
      <c r="R8" s="62"/>
      <c r="S8" s="62"/>
      <c r="T8" s="80"/>
      <c r="U8" s="80"/>
      <c r="V8" s="80"/>
      <c r="W8" s="80"/>
      <c r="X8" s="80"/>
      <c r="Y8" s="80"/>
      <c r="Z8" s="80"/>
      <c r="AA8" s="80"/>
      <c r="AB8" s="80"/>
      <c r="AC8" s="80"/>
    </row>
    <row r="9" spans="1:29" ht="30" customHeight="1" x14ac:dyDescent="0.25">
      <c r="A9" s="78" t="s">
        <v>18</v>
      </c>
      <c r="B9" s="78" t="e">
        <f>VLOOKUP(I3,Table_2[],2,FALSE)</f>
        <v>#N/A</v>
      </c>
      <c r="C9" s="78"/>
      <c r="D9" s="81"/>
      <c r="E9" s="81"/>
      <c r="F9" s="81" t="s">
        <v>19</v>
      </c>
      <c r="G9" s="81" t="s">
        <v>19</v>
      </c>
      <c r="H9" s="72" t="s">
        <v>12</v>
      </c>
      <c r="I9" s="119" t="e">
        <f>VLOOKUP(I8,'FOOD SHEET 1'!Q36:R36,2,FALSE)</f>
        <v>#N/A</v>
      </c>
      <c r="J9" s="133"/>
      <c r="K9" s="134"/>
      <c r="L9" s="135" t="s">
        <v>46</v>
      </c>
      <c r="M9" s="136"/>
      <c r="N9" s="132" t="s">
        <v>298</v>
      </c>
      <c r="O9" s="137"/>
      <c r="P9" s="62"/>
      <c r="Q9" s="62"/>
      <c r="R9" s="62"/>
      <c r="S9" s="62"/>
      <c r="T9" s="80"/>
      <c r="U9" s="80"/>
      <c r="V9" s="80"/>
      <c r="W9" s="80"/>
      <c r="X9" s="80"/>
      <c r="Y9" s="80"/>
      <c r="Z9" s="80"/>
      <c r="AA9" s="80"/>
      <c r="AB9" s="80"/>
      <c r="AC9" s="80"/>
    </row>
    <row r="10" spans="1:29" ht="15.75" x14ac:dyDescent="0.25">
      <c r="A10" s="78" t="s">
        <v>20</v>
      </c>
      <c r="B10" s="78"/>
      <c r="C10" s="78"/>
      <c r="D10" s="81"/>
      <c r="E10" s="81"/>
      <c r="F10" s="95" t="e">
        <f t="shared" ref="F10:G10" si="0">F5+F6+F7</f>
        <v>#N/A</v>
      </c>
      <c r="G10" s="81">
        <f t="shared" si="0"/>
        <v>1</v>
      </c>
      <c r="H10" s="84" t="s">
        <v>224</v>
      </c>
      <c r="I10" s="96"/>
      <c r="J10" s="134"/>
      <c r="K10" s="134"/>
      <c r="L10" s="97" t="s">
        <v>50</v>
      </c>
      <c r="M10" s="98">
        <f>I4</f>
        <v>0</v>
      </c>
      <c r="N10" s="135" t="s">
        <v>46</v>
      </c>
      <c r="O10" s="138"/>
      <c r="P10" s="62"/>
      <c r="Q10" s="62"/>
      <c r="R10" s="62"/>
      <c r="S10" s="62"/>
      <c r="T10" s="80"/>
      <c r="U10" s="80"/>
      <c r="V10" s="80"/>
      <c r="W10" s="80"/>
      <c r="X10" s="80"/>
      <c r="Y10" s="80"/>
      <c r="Z10" s="80"/>
      <c r="AA10" s="80"/>
      <c r="AB10" s="80"/>
      <c r="AC10" s="80"/>
    </row>
    <row r="11" spans="1:29" x14ac:dyDescent="0.25">
      <c r="A11" s="99" t="s">
        <v>23</v>
      </c>
      <c r="B11" s="78" t="e">
        <f>B9*1.2</f>
        <v>#N/A</v>
      </c>
      <c r="C11" s="78"/>
      <c r="D11" s="81"/>
      <c r="E11" s="81"/>
      <c r="F11" s="81"/>
      <c r="G11" s="81"/>
      <c r="H11" s="100"/>
      <c r="I11" s="62"/>
      <c r="J11" s="62"/>
      <c r="K11" s="62"/>
      <c r="L11" s="101" t="s">
        <v>52</v>
      </c>
      <c r="M11" s="102" t="e">
        <f>M7</f>
        <v>#NUM!</v>
      </c>
      <c r="N11" s="97" t="s">
        <v>50</v>
      </c>
      <c r="O11" s="103">
        <f>I4</f>
        <v>0</v>
      </c>
      <c r="P11" s="62"/>
      <c r="Q11" s="62"/>
      <c r="R11" s="62"/>
      <c r="S11" s="62"/>
      <c r="T11" s="80"/>
      <c r="U11" s="80"/>
      <c r="V11" s="80"/>
      <c r="W11" s="80"/>
      <c r="X11" s="80"/>
      <c r="Y11" s="80"/>
      <c r="Z11" s="80"/>
      <c r="AA11" s="80"/>
      <c r="AB11" s="80"/>
      <c r="AC11" s="80"/>
    </row>
    <row r="12" spans="1:29" x14ac:dyDescent="0.25">
      <c r="A12" s="99" t="s">
        <v>30</v>
      </c>
      <c r="B12" s="78" t="e">
        <f>B9*1.375</f>
        <v>#N/A</v>
      </c>
      <c r="C12" s="78"/>
      <c r="D12" s="81" t="s">
        <v>225</v>
      </c>
      <c r="E12" s="81"/>
      <c r="F12" s="81" t="s">
        <v>226</v>
      </c>
      <c r="G12" s="81" t="s">
        <v>31</v>
      </c>
      <c r="H12" s="100" t="e">
        <f ca="1">INDIRECT(SUBSTITUTE($I$10," ","_"))</f>
        <v>#REF!</v>
      </c>
      <c r="I12" s="62"/>
      <c r="J12" s="62"/>
      <c r="K12" s="62"/>
      <c r="L12" s="101" t="s">
        <v>53</v>
      </c>
      <c r="M12" s="102" t="e">
        <f>M10-((M11/100)*M10)</f>
        <v>#NUM!</v>
      </c>
      <c r="N12" s="104" t="s">
        <v>52</v>
      </c>
      <c r="O12" s="105" t="e">
        <f>O8</f>
        <v>#NUM!</v>
      </c>
      <c r="P12" s="62"/>
      <c r="Q12" s="62"/>
      <c r="R12" s="62"/>
      <c r="S12" s="62"/>
      <c r="T12" s="80"/>
      <c r="U12" s="80"/>
      <c r="V12" s="80"/>
      <c r="W12" s="80"/>
      <c r="X12" s="80"/>
      <c r="Y12" s="80"/>
      <c r="Z12" s="80"/>
      <c r="AA12" s="80"/>
      <c r="AB12" s="80"/>
      <c r="AC12" s="80"/>
    </row>
    <row r="13" spans="1:29" ht="23.25" customHeight="1" x14ac:dyDescent="0.25">
      <c r="A13" s="99" t="s">
        <v>35</v>
      </c>
      <c r="B13" s="78" t="e">
        <f>B9*1.55</f>
        <v>#N/A</v>
      </c>
      <c r="C13" s="78"/>
      <c r="D13" s="78" t="s">
        <v>227</v>
      </c>
      <c r="E13" s="78"/>
      <c r="F13" s="106" t="e">
        <f>(100/20)*F25</f>
        <v>#N/A</v>
      </c>
      <c r="G13" s="78" t="s">
        <v>7</v>
      </c>
      <c r="H13" s="79"/>
      <c r="I13" s="78" t="s">
        <v>299</v>
      </c>
      <c r="J13" s="78"/>
      <c r="K13" s="78"/>
      <c r="L13" s="107"/>
      <c r="M13" s="108"/>
      <c r="N13" s="104" t="s">
        <v>53</v>
      </c>
      <c r="O13" s="105" t="e">
        <f>O11-((O12/100)*O11)</f>
        <v>#NUM!</v>
      </c>
      <c r="P13" s="62"/>
      <c r="Q13" s="62"/>
      <c r="R13" s="62"/>
      <c r="S13" s="62"/>
      <c r="T13" s="80"/>
      <c r="U13" s="80"/>
      <c r="V13" s="80"/>
      <c r="W13" s="80"/>
      <c r="X13" s="80"/>
      <c r="Y13" s="80"/>
      <c r="Z13" s="80"/>
      <c r="AA13" s="80"/>
      <c r="AB13" s="80"/>
      <c r="AC13" s="80"/>
    </row>
    <row r="14" spans="1:29" x14ac:dyDescent="0.25">
      <c r="A14" s="99" t="s">
        <v>39</v>
      </c>
      <c r="B14" s="78" t="e">
        <f>B9*1.725</f>
        <v>#N/A</v>
      </c>
      <c r="C14" s="78"/>
      <c r="D14" s="78" t="s">
        <v>228</v>
      </c>
      <c r="E14" s="78"/>
      <c r="F14" s="109" t="e">
        <f>F25/15</f>
        <v>#N/A</v>
      </c>
      <c r="G14" s="78" t="s">
        <v>22</v>
      </c>
      <c r="H14" s="79"/>
      <c r="I14" s="78"/>
      <c r="J14" s="78"/>
      <c r="K14" s="78"/>
      <c r="L14" s="78"/>
      <c r="M14" s="78"/>
      <c r="N14" s="78"/>
      <c r="O14" s="62"/>
      <c r="P14" s="62"/>
      <c r="Q14" s="62"/>
      <c r="R14" s="62"/>
      <c r="S14" s="62"/>
      <c r="T14" s="80"/>
      <c r="U14" s="80"/>
      <c r="V14" s="80"/>
      <c r="W14" s="80"/>
      <c r="X14" s="80"/>
      <c r="Y14" s="80"/>
      <c r="Z14" s="80"/>
      <c r="AA14" s="80"/>
      <c r="AB14" s="80"/>
      <c r="AC14" s="80"/>
    </row>
    <row r="15" spans="1:29" x14ac:dyDescent="0.25">
      <c r="A15" s="99" t="s">
        <v>229</v>
      </c>
      <c r="B15" s="78" t="e">
        <f>B9*1.9</f>
        <v>#N/A</v>
      </c>
      <c r="C15" s="78"/>
      <c r="D15" s="78" t="s">
        <v>230</v>
      </c>
      <c r="E15" s="78"/>
      <c r="F15" s="106" t="e">
        <f>(45/30)*F25</f>
        <v>#N/A</v>
      </c>
      <c r="G15" s="78" t="s">
        <v>7</v>
      </c>
      <c r="H15" s="79"/>
      <c r="I15" s="78"/>
      <c r="J15" s="78"/>
      <c r="K15" s="78"/>
      <c r="L15" s="78"/>
      <c r="M15" s="78"/>
      <c r="N15" s="78"/>
      <c r="O15" s="62"/>
      <c r="P15" s="62"/>
      <c r="Q15" s="62"/>
      <c r="R15" s="62"/>
      <c r="S15" s="62"/>
      <c r="T15" s="80"/>
      <c r="U15" s="80"/>
      <c r="V15" s="80"/>
      <c r="W15" s="80"/>
      <c r="X15" s="80"/>
      <c r="Y15" s="80"/>
      <c r="Z15" s="80"/>
      <c r="AA15" s="80"/>
      <c r="AB15" s="80"/>
      <c r="AC15" s="80"/>
    </row>
    <row r="16" spans="1:29" x14ac:dyDescent="0.25">
      <c r="A16" s="78"/>
      <c r="B16" s="78"/>
      <c r="C16" s="78"/>
      <c r="D16" s="78" t="s">
        <v>231</v>
      </c>
      <c r="E16" s="78"/>
      <c r="F16" s="106" t="e">
        <f>(100/82.4)*F25</f>
        <v>#N/A</v>
      </c>
      <c r="G16" s="78" t="s">
        <v>7</v>
      </c>
      <c r="H16" s="79"/>
      <c r="I16" s="78"/>
      <c r="J16" s="78"/>
      <c r="K16" s="78"/>
      <c r="L16" s="78"/>
      <c r="M16" s="78"/>
      <c r="N16" s="78"/>
      <c r="O16" s="62"/>
      <c r="P16" s="62"/>
      <c r="Q16" s="62"/>
      <c r="R16" s="62"/>
      <c r="S16" s="62"/>
      <c r="T16" s="80"/>
      <c r="U16" s="80"/>
      <c r="V16" s="80"/>
      <c r="W16" s="80"/>
      <c r="X16" s="80"/>
      <c r="Y16" s="80"/>
      <c r="Z16" s="80"/>
      <c r="AA16" s="80"/>
      <c r="AB16" s="80"/>
      <c r="AC16" s="80"/>
    </row>
    <row r="17" spans="1:29" x14ac:dyDescent="0.25">
      <c r="A17" s="78"/>
      <c r="B17" s="78"/>
      <c r="C17" s="78"/>
      <c r="D17" s="78" t="s">
        <v>232</v>
      </c>
      <c r="E17" s="78"/>
      <c r="F17" s="106" t="e">
        <f>(100/23.5)*F25</f>
        <v>#N/A</v>
      </c>
      <c r="G17" s="78" t="s">
        <v>7</v>
      </c>
      <c r="H17" s="79"/>
      <c r="I17" s="78"/>
      <c r="J17" s="78"/>
      <c r="K17" s="78"/>
      <c r="L17" s="78"/>
      <c r="M17" s="78"/>
      <c r="N17" s="78"/>
      <c r="O17" s="62"/>
      <c r="P17" s="62"/>
      <c r="Q17" s="62"/>
      <c r="R17" s="62"/>
      <c r="S17" s="62"/>
      <c r="T17" s="80"/>
      <c r="U17" s="80"/>
      <c r="V17" s="80"/>
      <c r="W17" s="80"/>
      <c r="X17" s="80"/>
      <c r="Y17" s="80"/>
      <c r="Z17" s="80"/>
      <c r="AA17" s="80"/>
      <c r="AB17" s="80"/>
      <c r="AC17" s="80"/>
    </row>
    <row r="18" spans="1:29" x14ac:dyDescent="0.25">
      <c r="A18" s="78"/>
      <c r="B18" s="78"/>
      <c r="C18" s="78"/>
      <c r="D18" s="78" t="s">
        <v>233</v>
      </c>
      <c r="E18" s="78"/>
      <c r="F18" s="106" t="e">
        <f>(100/28.5)*F25</f>
        <v>#N/A</v>
      </c>
      <c r="G18" s="78" t="s">
        <v>7</v>
      </c>
      <c r="H18" s="79"/>
      <c r="I18" s="78"/>
      <c r="J18" s="78"/>
      <c r="K18" s="78"/>
      <c r="L18" s="78"/>
      <c r="M18" s="78"/>
      <c r="N18" s="78"/>
      <c r="O18" s="62"/>
      <c r="P18" s="62"/>
      <c r="Q18" s="62"/>
      <c r="R18" s="62"/>
      <c r="S18" s="62"/>
      <c r="T18" s="80"/>
      <c r="U18" s="80"/>
      <c r="V18" s="80"/>
      <c r="W18" s="80"/>
      <c r="X18" s="80"/>
      <c r="Y18" s="80"/>
      <c r="Z18" s="80"/>
      <c r="AA18" s="80"/>
      <c r="AB18" s="80"/>
      <c r="AC18" s="80"/>
    </row>
    <row r="19" spans="1:29" x14ac:dyDescent="0.25">
      <c r="A19" s="78"/>
      <c r="B19" s="78"/>
      <c r="C19" s="78"/>
      <c r="D19" s="78" t="s">
        <v>234</v>
      </c>
      <c r="E19" s="78"/>
      <c r="F19" s="106" t="e">
        <f>(200/45)*F25</f>
        <v>#N/A</v>
      </c>
      <c r="G19" s="78" t="s">
        <v>7</v>
      </c>
      <c r="H19" s="79"/>
      <c r="I19" s="78"/>
      <c r="J19" s="78"/>
      <c r="K19" s="78"/>
      <c r="L19" s="78"/>
      <c r="M19" s="78"/>
      <c r="N19" s="78"/>
      <c r="O19" s="62"/>
      <c r="P19" s="62"/>
      <c r="Q19" s="62"/>
      <c r="R19" s="62"/>
      <c r="S19" s="62"/>
      <c r="T19" s="80"/>
      <c r="U19" s="80"/>
      <c r="V19" s="80"/>
      <c r="W19" s="80"/>
      <c r="X19" s="80"/>
      <c r="Y19" s="80"/>
      <c r="Z19" s="80"/>
      <c r="AA19" s="80"/>
      <c r="AB19" s="80"/>
      <c r="AC19" s="80"/>
    </row>
    <row r="20" spans="1:29" x14ac:dyDescent="0.25">
      <c r="A20" s="78"/>
      <c r="B20" s="78"/>
      <c r="C20" s="78"/>
      <c r="D20" s="78" t="s">
        <v>235</v>
      </c>
      <c r="E20" s="78"/>
      <c r="F20" s="106" t="e">
        <f>(100/21.3)*F25</f>
        <v>#N/A</v>
      </c>
      <c r="G20" s="78" t="s">
        <v>7</v>
      </c>
      <c r="H20" s="79"/>
      <c r="I20" s="78"/>
      <c r="J20" s="78"/>
      <c r="K20" s="78"/>
      <c r="L20" s="78"/>
      <c r="M20" s="78"/>
      <c r="N20" s="78"/>
      <c r="O20" s="62"/>
      <c r="P20" s="62"/>
      <c r="Q20" s="62"/>
      <c r="R20" s="62"/>
      <c r="S20" s="62"/>
      <c r="T20" s="80"/>
      <c r="U20" s="80"/>
      <c r="V20" s="80"/>
      <c r="W20" s="80"/>
      <c r="X20" s="80"/>
      <c r="Y20" s="80"/>
      <c r="Z20" s="80"/>
      <c r="AA20" s="80"/>
      <c r="AB20" s="80"/>
      <c r="AC20" s="80"/>
    </row>
    <row r="21" spans="1:29" ht="15.75" customHeight="1" x14ac:dyDescent="0.25">
      <c r="A21" s="78"/>
      <c r="B21" s="78"/>
      <c r="C21" s="78"/>
      <c r="D21" s="78" t="s">
        <v>236</v>
      </c>
      <c r="E21" s="78"/>
      <c r="F21" s="106" t="e">
        <f>(100/19.6)*F25</f>
        <v>#N/A</v>
      </c>
      <c r="G21" s="78" t="s">
        <v>7</v>
      </c>
      <c r="H21" s="79"/>
      <c r="I21" s="78"/>
      <c r="J21" s="78"/>
      <c r="K21" s="78"/>
      <c r="L21" s="78"/>
      <c r="M21" s="78"/>
      <c r="N21" s="78"/>
      <c r="O21" s="62"/>
      <c r="P21" s="62"/>
      <c r="Q21" s="62"/>
      <c r="R21" s="62"/>
      <c r="S21" s="62"/>
      <c r="T21" s="80"/>
      <c r="U21" s="80"/>
      <c r="V21" s="80"/>
      <c r="W21" s="80"/>
      <c r="X21" s="80"/>
      <c r="Y21" s="80"/>
      <c r="Z21" s="80"/>
      <c r="AA21" s="80"/>
      <c r="AB21" s="80"/>
      <c r="AC21" s="80"/>
    </row>
    <row r="22" spans="1:29" ht="15.75" customHeight="1" x14ac:dyDescent="0.25">
      <c r="A22" s="78"/>
      <c r="B22" s="78"/>
      <c r="C22" s="78"/>
      <c r="D22" s="78" t="s">
        <v>237</v>
      </c>
      <c r="E22" s="78"/>
      <c r="F22" s="106" t="e">
        <f>(28/4)*F25</f>
        <v>#N/A</v>
      </c>
      <c r="G22" s="78" t="s">
        <v>7</v>
      </c>
      <c r="H22" s="110"/>
      <c r="I22" s="78"/>
      <c r="J22" s="78"/>
      <c r="K22" s="78"/>
      <c r="L22" s="78"/>
      <c r="M22" s="78"/>
      <c r="N22" s="78"/>
      <c r="O22" s="62"/>
      <c r="P22" s="62"/>
      <c r="Q22" s="62"/>
      <c r="R22" s="62"/>
      <c r="S22" s="62"/>
      <c r="T22" s="80"/>
      <c r="U22" s="80"/>
      <c r="V22" s="80"/>
      <c r="W22" s="80"/>
      <c r="X22" s="80"/>
      <c r="Y22" s="80"/>
      <c r="Z22" s="80"/>
      <c r="AA22" s="80"/>
      <c r="AB22" s="80"/>
      <c r="AC22" s="80"/>
    </row>
    <row r="23" spans="1:29" ht="15.75" customHeight="1" x14ac:dyDescent="0.25">
      <c r="A23" s="78"/>
      <c r="B23" s="78"/>
      <c r="C23" s="78"/>
      <c r="D23" s="78" t="s">
        <v>238</v>
      </c>
      <c r="E23" s="78"/>
      <c r="F23" s="106" t="e">
        <f>(28/7)*F25</f>
        <v>#N/A</v>
      </c>
      <c r="G23" s="78" t="s">
        <v>7</v>
      </c>
      <c r="H23" s="79"/>
      <c r="I23" s="78"/>
      <c r="J23" s="78"/>
      <c r="K23" s="78"/>
      <c r="L23" s="78"/>
      <c r="M23" s="78"/>
      <c r="N23" s="78"/>
      <c r="O23" s="62"/>
      <c r="P23" s="62"/>
      <c r="Q23" s="62"/>
      <c r="R23" s="62"/>
      <c r="S23" s="62"/>
      <c r="T23" s="80"/>
      <c r="U23" s="80"/>
      <c r="V23" s="80"/>
      <c r="W23" s="80"/>
      <c r="X23" s="80"/>
      <c r="Y23" s="80"/>
      <c r="Z23" s="80"/>
      <c r="AA23" s="80"/>
      <c r="AB23" s="80"/>
      <c r="AC23" s="80"/>
    </row>
    <row r="24" spans="1:29" ht="15.75" customHeight="1" x14ac:dyDescent="0.25">
      <c r="A24" s="78"/>
      <c r="B24" s="78"/>
      <c r="C24" s="78"/>
      <c r="D24" s="78"/>
      <c r="E24" s="78"/>
      <c r="F24" s="78"/>
      <c r="G24" s="78"/>
      <c r="H24" s="79"/>
      <c r="I24" s="78"/>
      <c r="J24" s="78"/>
      <c r="K24" s="78"/>
      <c r="L24" s="78"/>
      <c r="M24" s="78"/>
      <c r="N24" s="78"/>
      <c r="O24" s="62"/>
      <c r="P24" s="62"/>
      <c r="Q24" s="62"/>
      <c r="R24" s="62"/>
      <c r="S24" s="62"/>
      <c r="T24" s="80"/>
      <c r="U24" s="80"/>
      <c r="V24" s="80"/>
      <c r="W24" s="80"/>
      <c r="X24" s="80"/>
      <c r="Y24" s="80"/>
      <c r="Z24" s="80"/>
      <c r="AA24" s="80"/>
      <c r="AB24" s="80"/>
      <c r="AC24" s="80"/>
    </row>
    <row r="25" spans="1:29" ht="15.75" customHeight="1" x14ac:dyDescent="0.25">
      <c r="A25" s="78"/>
      <c r="B25" s="78"/>
      <c r="C25" s="78"/>
      <c r="D25" s="78" t="s">
        <v>239</v>
      </c>
      <c r="E25" s="78"/>
      <c r="F25" s="106" t="e">
        <f>E5/J12</f>
        <v>#N/A</v>
      </c>
      <c r="G25" s="106"/>
      <c r="H25" s="79"/>
      <c r="I25" s="78"/>
      <c r="J25" s="78"/>
      <c r="K25" s="78"/>
      <c r="L25" s="78"/>
      <c r="M25" s="78"/>
      <c r="N25" s="78"/>
      <c r="O25" s="62"/>
      <c r="P25" s="62"/>
      <c r="Q25" s="62"/>
      <c r="R25" s="62"/>
      <c r="S25" s="62"/>
      <c r="T25" s="80"/>
      <c r="U25" s="80"/>
      <c r="V25" s="80"/>
      <c r="W25" s="80"/>
      <c r="X25" s="80"/>
      <c r="Y25" s="80"/>
      <c r="Z25" s="80"/>
      <c r="AA25" s="80"/>
      <c r="AB25" s="80"/>
      <c r="AC25" s="80"/>
    </row>
    <row r="26" spans="1:29" ht="15.75" customHeight="1" x14ac:dyDescent="0.25">
      <c r="A26" s="78"/>
      <c r="B26" s="78"/>
      <c r="C26" s="78"/>
      <c r="D26" s="78"/>
      <c r="E26" s="78"/>
      <c r="F26" s="78"/>
      <c r="G26" s="78"/>
      <c r="H26" s="79"/>
      <c r="I26" s="78"/>
      <c r="J26" s="78"/>
      <c r="K26" s="78"/>
      <c r="L26" s="78"/>
      <c r="M26" s="78"/>
      <c r="N26" s="78"/>
      <c r="O26" s="62"/>
      <c r="P26" s="62"/>
      <c r="Q26" s="62"/>
      <c r="R26" s="62"/>
      <c r="S26" s="62"/>
      <c r="T26" s="80"/>
      <c r="U26" s="80"/>
      <c r="V26" s="80"/>
      <c r="W26" s="80"/>
      <c r="X26" s="80"/>
      <c r="Y26" s="80"/>
      <c r="Z26" s="80"/>
      <c r="AA26" s="80"/>
      <c r="AB26" s="80"/>
      <c r="AC26" s="80"/>
    </row>
    <row r="27" spans="1:29" ht="15.75" customHeight="1" x14ac:dyDescent="0.25">
      <c r="A27" s="78"/>
      <c r="B27" s="78"/>
      <c r="C27" s="78"/>
      <c r="D27" s="78" t="s">
        <v>240</v>
      </c>
      <c r="E27" s="78"/>
      <c r="F27" s="78" t="s">
        <v>226</v>
      </c>
      <c r="G27" s="78" t="s">
        <v>7</v>
      </c>
      <c r="H27" s="79"/>
      <c r="I27" s="78"/>
      <c r="J27" s="78"/>
      <c r="K27" s="78"/>
      <c r="L27" s="78"/>
      <c r="M27" s="78"/>
      <c r="N27" s="78"/>
      <c r="O27" s="62"/>
      <c r="P27" s="62"/>
      <c r="Q27" s="62"/>
      <c r="R27" s="62"/>
      <c r="S27" s="62"/>
      <c r="T27" s="80"/>
      <c r="U27" s="80"/>
      <c r="V27" s="80"/>
      <c r="W27" s="80"/>
      <c r="X27" s="80"/>
      <c r="Y27" s="80"/>
      <c r="Z27" s="80"/>
      <c r="AA27" s="80"/>
      <c r="AB27" s="80"/>
      <c r="AC27" s="80"/>
    </row>
    <row r="28" spans="1:29" ht="15.75" customHeight="1" x14ac:dyDescent="0.25">
      <c r="A28" s="78"/>
      <c r="B28" s="78"/>
      <c r="C28" s="78"/>
      <c r="D28" s="78" t="s">
        <v>241</v>
      </c>
      <c r="E28" s="78"/>
      <c r="F28" s="106" t="e">
        <f>(100/30.09)*F47</f>
        <v>#N/A</v>
      </c>
      <c r="G28" s="106" t="e">
        <f>E6/6</f>
        <v>#N/A</v>
      </c>
      <c r="H28" s="79"/>
      <c r="I28" s="78"/>
      <c r="J28" s="78"/>
      <c r="K28" s="78"/>
      <c r="L28" s="78"/>
      <c r="M28" s="78"/>
      <c r="N28" s="78"/>
      <c r="O28" s="62"/>
      <c r="P28" s="62"/>
      <c r="Q28" s="62"/>
      <c r="R28" s="62"/>
      <c r="S28" s="62"/>
      <c r="T28" s="80"/>
      <c r="U28" s="80"/>
      <c r="V28" s="80"/>
      <c r="W28" s="80"/>
      <c r="X28" s="80"/>
      <c r="Y28" s="80"/>
      <c r="Z28" s="80"/>
      <c r="AA28" s="80"/>
      <c r="AB28" s="80"/>
      <c r="AC28" s="80"/>
    </row>
    <row r="29" spans="1:29" ht="15.75" customHeight="1" x14ac:dyDescent="0.25">
      <c r="A29" s="78"/>
      <c r="B29" s="78"/>
      <c r="C29" s="78"/>
      <c r="D29" s="78" t="s">
        <v>242</v>
      </c>
      <c r="E29" s="78"/>
      <c r="F29" s="106" t="e">
        <f>(100/30.54)*F47</f>
        <v>#N/A</v>
      </c>
      <c r="G29" s="106" t="e">
        <f>E6/6</f>
        <v>#N/A</v>
      </c>
      <c r="H29" s="79"/>
      <c r="I29" s="78"/>
      <c r="J29" s="78"/>
      <c r="K29" s="78"/>
      <c r="L29" s="78"/>
      <c r="M29" s="78"/>
      <c r="N29" s="78"/>
      <c r="O29" s="62"/>
      <c r="P29" s="62"/>
      <c r="Q29" s="62"/>
      <c r="R29" s="62"/>
      <c r="S29" s="62"/>
      <c r="T29" s="80"/>
      <c r="U29" s="80"/>
      <c r="V29" s="80"/>
      <c r="W29" s="80"/>
      <c r="X29" s="80"/>
      <c r="Y29" s="80"/>
      <c r="Z29" s="80"/>
      <c r="AA29" s="80"/>
      <c r="AB29" s="80"/>
      <c r="AC29" s="80"/>
    </row>
    <row r="30" spans="1:29" ht="15.75" customHeight="1" x14ac:dyDescent="0.25">
      <c r="A30" s="78"/>
      <c r="B30" s="78"/>
      <c r="C30" s="78"/>
      <c r="D30" s="78" t="s">
        <v>243</v>
      </c>
      <c r="E30" s="78"/>
      <c r="F30" s="106" t="e">
        <f>(100/10.9)*F47</f>
        <v>#N/A</v>
      </c>
      <c r="G30" s="106" t="e">
        <f>E6/6</f>
        <v>#N/A</v>
      </c>
      <c r="H30" s="79"/>
      <c r="I30" s="78"/>
      <c r="J30" s="78"/>
      <c r="K30" s="78"/>
      <c r="L30" s="78"/>
      <c r="M30" s="78"/>
      <c r="N30" s="78"/>
      <c r="O30" s="62"/>
      <c r="P30" s="62"/>
      <c r="Q30" s="62"/>
      <c r="R30" s="62"/>
      <c r="S30" s="62"/>
      <c r="T30" s="80"/>
      <c r="U30" s="80"/>
      <c r="V30" s="80"/>
      <c r="W30" s="80"/>
      <c r="X30" s="80"/>
      <c r="Y30" s="80"/>
      <c r="Z30" s="80"/>
      <c r="AA30" s="80"/>
      <c r="AB30" s="80"/>
      <c r="AC30" s="80"/>
    </row>
    <row r="31" spans="1:29" ht="15.75" customHeight="1" x14ac:dyDescent="0.25">
      <c r="A31" s="78"/>
      <c r="B31" s="78"/>
      <c r="C31" s="78"/>
      <c r="D31" s="78" t="s">
        <v>244</v>
      </c>
      <c r="E31" s="78"/>
      <c r="F31" s="106" t="e">
        <f>F47</f>
        <v>#N/A</v>
      </c>
      <c r="G31" s="106" t="e">
        <f>E6/6</f>
        <v>#N/A</v>
      </c>
      <c r="H31" s="79"/>
      <c r="I31" s="78"/>
      <c r="J31" s="78"/>
      <c r="K31" s="78" t="s">
        <v>245</v>
      </c>
      <c r="L31" s="78"/>
      <c r="M31" s="78"/>
      <c r="N31" s="78"/>
      <c r="O31" s="62"/>
      <c r="P31" s="62"/>
      <c r="Q31" s="62"/>
      <c r="R31" s="62"/>
      <c r="S31" s="62"/>
      <c r="T31" s="80"/>
      <c r="U31" s="80"/>
      <c r="V31" s="80"/>
      <c r="W31" s="80"/>
      <c r="X31" s="80"/>
      <c r="Y31" s="80"/>
      <c r="Z31" s="80"/>
      <c r="AA31" s="80"/>
      <c r="AB31" s="80"/>
      <c r="AC31" s="80"/>
    </row>
    <row r="32" spans="1:29" ht="15.75" customHeight="1" x14ac:dyDescent="0.25">
      <c r="A32" s="78"/>
      <c r="B32" s="78"/>
      <c r="C32" s="78"/>
      <c r="D32" s="78" t="s">
        <v>246</v>
      </c>
      <c r="E32" s="78"/>
      <c r="F32" s="106" t="e">
        <f>(100/26.15)*F47</f>
        <v>#N/A</v>
      </c>
      <c r="G32" s="106" t="e">
        <f>E6/6</f>
        <v>#N/A</v>
      </c>
      <c r="H32" s="79"/>
      <c r="I32" s="78"/>
      <c r="J32" s="78"/>
      <c r="K32" s="78"/>
      <c r="L32" s="78"/>
      <c r="M32" s="78"/>
      <c r="N32" s="78"/>
      <c r="O32" s="62"/>
      <c r="P32" s="62"/>
      <c r="Q32" s="62"/>
      <c r="R32" s="62"/>
      <c r="S32" s="62"/>
      <c r="T32" s="80"/>
      <c r="U32" s="80"/>
      <c r="V32" s="80"/>
      <c r="W32" s="80"/>
      <c r="X32" s="80"/>
      <c r="Y32" s="80"/>
      <c r="Z32" s="80"/>
      <c r="AA32" s="80"/>
      <c r="AB32" s="80"/>
      <c r="AC32" s="80"/>
    </row>
    <row r="33" spans="1:29" ht="15.75" customHeight="1" x14ac:dyDescent="0.25">
      <c r="A33" s="78"/>
      <c r="B33" s="78"/>
      <c r="C33" s="78"/>
      <c r="D33" s="78" t="s">
        <v>247</v>
      </c>
      <c r="E33" s="78"/>
      <c r="F33" s="106" t="e">
        <f>(100/25.44)*F47</f>
        <v>#N/A</v>
      </c>
      <c r="G33" s="106" t="e">
        <f>E6/6</f>
        <v>#N/A</v>
      </c>
      <c r="H33" s="79"/>
      <c r="I33" s="78"/>
      <c r="J33" s="78"/>
      <c r="K33" s="78"/>
      <c r="L33" s="78"/>
      <c r="M33" s="78"/>
      <c r="N33" s="78"/>
      <c r="O33" s="62"/>
      <c r="P33" s="62"/>
      <c r="Q33" s="62"/>
      <c r="R33" s="62"/>
      <c r="S33" s="62"/>
      <c r="T33" s="80"/>
      <c r="U33" s="80"/>
      <c r="V33" s="80"/>
      <c r="W33" s="80"/>
      <c r="X33" s="80"/>
      <c r="Y33" s="80"/>
      <c r="Z33" s="80"/>
      <c r="AA33" s="80"/>
      <c r="AB33" s="80"/>
      <c r="AC33" s="80"/>
    </row>
    <row r="34" spans="1:29" ht="15.75" customHeight="1" x14ac:dyDescent="0.25">
      <c r="A34" s="78"/>
      <c r="B34" s="78"/>
      <c r="C34" s="78"/>
      <c r="D34" s="78" t="s">
        <v>248</v>
      </c>
      <c r="E34" s="78"/>
      <c r="F34" s="106" t="e">
        <f>(100/23.62)*F47</f>
        <v>#N/A</v>
      </c>
      <c r="G34" s="106" t="e">
        <f>E6/6</f>
        <v>#N/A</v>
      </c>
      <c r="H34" s="79"/>
      <c r="I34" s="78"/>
      <c r="J34" s="78"/>
      <c r="K34" s="78"/>
      <c r="L34" s="78"/>
      <c r="M34" s="78"/>
      <c r="N34" s="78"/>
      <c r="O34" s="62"/>
      <c r="P34" s="62"/>
      <c r="Q34" s="62"/>
      <c r="R34" s="62"/>
      <c r="S34" s="62"/>
      <c r="T34" s="80"/>
      <c r="U34" s="80"/>
      <c r="V34" s="80"/>
      <c r="W34" s="80"/>
      <c r="X34" s="80"/>
      <c r="Y34" s="80"/>
      <c r="Z34" s="80"/>
      <c r="AA34" s="80"/>
      <c r="AB34" s="80"/>
      <c r="AC34" s="80"/>
    </row>
    <row r="35" spans="1:29" ht="15.75" customHeight="1" x14ac:dyDescent="0.25">
      <c r="A35" s="78"/>
      <c r="B35" s="78"/>
      <c r="C35" s="78"/>
      <c r="D35" s="78" t="s">
        <v>249</v>
      </c>
      <c r="E35" s="78"/>
      <c r="F35" s="106" t="e">
        <f>(100/23.98)*F47</f>
        <v>#N/A</v>
      </c>
      <c r="G35" s="106" t="e">
        <f>E6/6</f>
        <v>#N/A</v>
      </c>
      <c r="H35" s="79"/>
      <c r="I35" s="78"/>
      <c r="J35" s="78"/>
      <c r="K35" s="78"/>
      <c r="L35" s="78"/>
      <c r="M35" s="78"/>
      <c r="N35" s="78"/>
      <c r="O35" s="62"/>
      <c r="P35" s="62"/>
      <c r="Q35" s="62"/>
      <c r="R35" s="62"/>
      <c r="S35" s="62"/>
      <c r="T35" s="80"/>
      <c r="U35" s="80"/>
      <c r="V35" s="80"/>
      <c r="W35" s="80"/>
      <c r="X35" s="80"/>
      <c r="Y35" s="80"/>
      <c r="Z35" s="80"/>
      <c r="AA35" s="80"/>
      <c r="AB35" s="80"/>
      <c r="AC35" s="80"/>
    </row>
    <row r="36" spans="1:29" ht="15.75" customHeight="1" x14ac:dyDescent="0.25">
      <c r="A36" s="78"/>
      <c r="B36" s="78"/>
      <c r="C36" s="78"/>
      <c r="D36" s="78" t="s">
        <v>250</v>
      </c>
      <c r="E36" s="78"/>
      <c r="F36" s="106" t="e">
        <f>(94/26)*F47</f>
        <v>#N/A</v>
      </c>
      <c r="G36" s="106" t="e">
        <f>E6/6</f>
        <v>#N/A</v>
      </c>
      <c r="H36" s="79"/>
      <c r="I36" s="78"/>
      <c r="J36" s="78"/>
      <c r="K36" s="78"/>
      <c r="L36" s="78"/>
      <c r="M36" s="78"/>
      <c r="N36" s="78"/>
      <c r="O36" s="62"/>
      <c r="P36" s="62"/>
      <c r="Q36" s="62"/>
      <c r="R36" s="62"/>
      <c r="S36" s="62"/>
      <c r="T36" s="80"/>
      <c r="U36" s="80"/>
      <c r="V36" s="80"/>
      <c r="W36" s="80"/>
      <c r="X36" s="80"/>
      <c r="Y36" s="80"/>
      <c r="Z36" s="80"/>
      <c r="AA36" s="80"/>
      <c r="AB36" s="80"/>
      <c r="AC36" s="80"/>
    </row>
    <row r="37" spans="1:29" ht="15.75" customHeight="1" x14ac:dyDescent="0.25">
      <c r="A37" s="78"/>
      <c r="B37" s="78"/>
      <c r="C37" s="78"/>
      <c r="D37" s="78" t="s">
        <v>251</v>
      </c>
      <c r="E37" s="78"/>
      <c r="F37" s="106" t="e">
        <f>(84/23)*F47</f>
        <v>#N/A</v>
      </c>
      <c r="G37" s="106" t="e">
        <f>E6/6</f>
        <v>#N/A</v>
      </c>
      <c r="H37" s="79"/>
      <c r="I37" s="78"/>
      <c r="J37" s="78"/>
      <c r="K37" s="78"/>
      <c r="L37" s="78"/>
      <c r="M37" s="78"/>
      <c r="N37" s="78"/>
      <c r="O37" s="62"/>
      <c r="P37" s="62"/>
      <c r="Q37" s="62"/>
      <c r="R37" s="62"/>
      <c r="S37" s="62"/>
      <c r="T37" s="80"/>
      <c r="U37" s="80"/>
      <c r="V37" s="80"/>
      <c r="W37" s="80"/>
      <c r="X37" s="80"/>
      <c r="Y37" s="80"/>
      <c r="Z37" s="80"/>
      <c r="AA37" s="80"/>
      <c r="AB37" s="80"/>
      <c r="AC37" s="80"/>
    </row>
    <row r="38" spans="1:29" ht="15.75" customHeight="1" x14ac:dyDescent="0.25">
      <c r="A38" s="78"/>
      <c r="B38" s="78"/>
      <c r="C38" s="78"/>
      <c r="D38" s="78" t="s">
        <v>252</v>
      </c>
      <c r="E38" s="78"/>
      <c r="F38" s="106" t="e">
        <f>(28/5)*F47</f>
        <v>#N/A</v>
      </c>
      <c r="G38" s="106" t="e">
        <f>E6/6</f>
        <v>#N/A</v>
      </c>
      <c r="H38" s="79"/>
      <c r="I38" s="78"/>
      <c r="J38" s="78"/>
      <c r="K38" s="78"/>
      <c r="L38" s="78"/>
      <c r="M38" s="78"/>
      <c r="N38" s="78"/>
      <c r="O38" s="62"/>
      <c r="P38" s="62"/>
      <c r="Q38" s="62"/>
      <c r="R38" s="62"/>
      <c r="S38" s="62"/>
      <c r="T38" s="80"/>
      <c r="U38" s="80"/>
      <c r="V38" s="80"/>
      <c r="W38" s="80"/>
      <c r="X38" s="80"/>
      <c r="Y38" s="80"/>
      <c r="Z38" s="80"/>
      <c r="AA38" s="80"/>
      <c r="AB38" s="80"/>
      <c r="AC38" s="80"/>
    </row>
    <row r="39" spans="1:29" ht="15.75" customHeight="1" x14ac:dyDescent="0.25">
      <c r="A39" s="78"/>
      <c r="B39" s="78"/>
      <c r="C39" s="78"/>
      <c r="D39" s="78" t="s">
        <v>253</v>
      </c>
      <c r="E39" s="78"/>
      <c r="F39" s="106" t="e">
        <f>(28/6)*F47</f>
        <v>#N/A</v>
      </c>
      <c r="G39" s="106" t="e">
        <f>E6/6</f>
        <v>#N/A</v>
      </c>
      <c r="H39" s="79"/>
      <c r="I39" s="78"/>
      <c r="J39" s="78"/>
      <c r="K39" s="78"/>
      <c r="L39" s="78"/>
      <c r="M39" s="78"/>
      <c r="N39" s="78"/>
      <c r="O39" s="62"/>
      <c r="P39" s="62"/>
      <c r="Q39" s="62"/>
      <c r="R39" s="62"/>
      <c r="S39" s="62"/>
      <c r="T39" s="80"/>
      <c r="U39" s="80"/>
      <c r="V39" s="80"/>
      <c r="W39" s="80"/>
      <c r="X39" s="80"/>
      <c r="Y39" s="80"/>
      <c r="Z39" s="80"/>
      <c r="AA39" s="80"/>
      <c r="AB39" s="80"/>
      <c r="AC39" s="80"/>
    </row>
    <row r="40" spans="1:29" ht="15.75" customHeight="1" x14ac:dyDescent="0.25">
      <c r="A40" s="78"/>
      <c r="B40" s="78"/>
      <c r="C40" s="78"/>
      <c r="D40" s="78" t="s">
        <v>254</v>
      </c>
      <c r="E40" s="78"/>
      <c r="F40" s="106" t="e">
        <f>(28/8)*F47</f>
        <v>#N/A</v>
      </c>
      <c r="G40" s="106" t="e">
        <f>E6/6</f>
        <v>#N/A</v>
      </c>
      <c r="H40" s="79"/>
      <c r="I40" s="78"/>
      <c r="J40" s="78"/>
      <c r="K40" s="78"/>
      <c r="L40" s="78"/>
      <c r="M40" s="78"/>
      <c r="N40" s="78"/>
      <c r="O40" s="62"/>
      <c r="P40" s="62"/>
      <c r="Q40" s="62"/>
      <c r="R40" s="62"/>
      <c r="S40" s="62"/>
      <c r="T40" s="80"/>
      <c r="U40" s="80"/>
      <c r="V40" s="80"/>
      <c r="W40" s="80"/>
      <c r="X40" s="80"/>
      <c r="Y40" s="80"/>
      <c r="Z40" s="80"/>
      <c r="AA40" s="80"/>
      <c r="AB40" s="80"/>
      <c r="AC40" s="80"/>
    </row>
    <row r="41" spans="1:29" ht="15.75" customHeight="1" x14ac:dyDescent="0.25">
      <c r="A41" s="78"/>
      <c r="B41" s="78"/>
      <c r="C41" s="78"/>
      <c r="D41" s="78" t="s">
        <v>255</v>
      </c>
      <c r="E41" s="78"/>
      <c r="F41" s="106" t="e">
        <f>(28/8)*F47</f>
        <v>#N/A</v>
      </c>
      <c r="G41" s="106" t="e">
        <f>E6/6</f>
        <v>#N/A</v>
      </c>
      <c r="H41" s="79"/>
      <c r="I41" s="78"/>
      <c r="J41" s="78"/>
      <c r="K41" s="78"/>
      <c r="L41" s="78"/>
      <c r="M41" s="78"/>
      <c r="N41" s="78"/>
      <c r="O41" s="62"/>
      <c r="P41" s="62"/>
      <c r="Q41" s="62"/>
      <c r="R41" s="62"/>
      <c r="S41" s="62"/>
      <c r="T41" s="80"/>
      <c r="U41" s="80"/>
      <c r="V41" s="80"/>
      <c r="W41" s="80"/>
      <c r="X41" s="80"/>
      <c r="Y41" s="80"/>
      <c r="Z41" s="80"/>
      <c r="AA41" s="80"/>
      <c r="AB41" s="80"/>
      <c r="AC41" s="80"/>
    </row>
    <row r="42" spans="1:29" ht="15.75" customHeight="1" x14ac:dyDescent="0.25">
      <c r="A42" s="78"/>
      <c r="B42" s="78"/>
      <c r="C42" s="78"/>
      <c r="D42" s="78" t="s">
        <v>256</v>
      </c>
      <c r="E42" s="78"/>
      <c r="F42" s="106" t="e">
        <f>(28/7)*F47</f>
        <v>#N/A</v>
      </c>
      <c r="G42" s="106" t="e">
        <f>E6/6</f>
        <v>#N/A</v>
      </c>
      <c r="H42" s="79"/>
      <c r="I42" s="78"/>
      <c r="J42" s="78"/>
      <c r="K42" s="78"/>
      <c r="L42" s="78"/>
      <c r="M42" s="78"/>
      <c r="N42" s="78"/>
      <c r="O42" s="62"/>
      <c r="P42" s="62"/>
      <c r="Q42" s="62"/>
      <c r="R42" s="62"/>
      <c r="S42" s="62"/>
      <c r="T42" s="80"/>
      <c r="U42" s="80"/>
      <c r="V42" s="80"/>
      <c r="W42" s="80"/>
      <c r="X42" s="80"/>
      <c r="Y42" s="80"/>
      <c r="Z42" s="80"/>
      <c r="AA42" s="80"/>
      <c r="AB42" s="80"/>
      <c r="AC42" s="80"/>
    </row>
    <row r="43" spans="1:29" ht="15.75" customHeight="1" x14ac:dyDescent="0.25">
      <c r="A43" s="78"/>
      <c r="B43" s="78"/>
      <c r="C43" s="78"/>
      <c r="D43" s="78" t="s">
        <v>257</v>
      </c>
      <c r="E43" s="78"/>
      <c r="F43" s="106" t="e">
        <f>(28/7)*F47</f>
        <v>#N/A</v>
      </c>
      <c r="G43" s="106" t="e">
        <f>E6/6</f>
        <v>#N/A</v>
      </c>
      <c r="H43" s="111"/>
      <c r="I43" s="78"/>
      <c r="J43" s="78"/>
      <c r="K43" s="78"/>
      <c r="L43" s="78"/>
      <c r="M43" s="78"/>
      <c r="N43" s="78"/>
      <c r="O43" s="62"/>
      <c r="P43" s="62"/>
      <c r="Q43" s="62"/>
      <c r="R43" s="62"/>
      <c r="S43" s="62"/>
      <c r="T43" s="80"/>
      <c r="U43" s="80"/>
      <c r="V43" s="80"/>
      <c r="W43" s="80"/>
      <c r="X43" s="80"/>
      <c r="Y43" s="80"/>
      <c r="Z43" s="80"/>
      <c r="AA43" s="80"/>
      <c r="AB43" s="80"/>
      <c r="AC43" s="80"/>
    </row>
    <row r="44" spans="1:29" ht="15.75" customHeight="1" x14ac:dyDescent="0.25">
      <c r="A44" s="78"/>
      <c r="B44" s="78"/>
      <c r="C44" s="78"/>
      <c r="D44" s="78" t="s">
        <v>258</v>
      </c>
      <c r="E44" s="78"/>
      <c r="F44" s="106" t="e">
        <f>(28/7)*F47</f>
        <v>#N/A</v>
      </c>
      <c r="G44" s="106" t="e">
        <f>E6/6</f>
        <v>#N/A</v>
      </c>
      <c r="H44" s="110"/>
      <c r="I44" s="78"/>
      <c r="J44" s="78"/>
      <c r="K44" s="78"/>
      <c r="L44" s="78"/>
      <c r="M44" s="78"/>
      <c r="N44" s="78"/>
      <c r="O44" s="62"/>
      <c r="P44" s="62"/>
      <c r="Q44" s="62"/>
      <c r="R44" s="62"/>
      <c r="S44" s="62"/>
      <c r="T44" s="80"/>
      <c r="U44" s="80"/>
      <c r="V44" s="80"/>
      <c r="W44" s="80"/>
      <c r="X44" s="80"/>
      <c r="Y44" s="80"/>
      <c r="Z44" s="80"/>
      <c r="AA44" s="80"/>
      <c r="AB44" s="80"/>
      <c r="AC44" s="80"/>
    </row>
    <row r="45" spans="1:29" ht="15.75" customHeight="1" x14ac:dyDescent="0.25">
      <c r="A45" s="78"/>
      <c r="B45" s="78"/>
      <c r="C45" s="78"/>
      <c r="D45" s="78" t="s">
        <v>259</v>
      </c>
      <c r="E45" s="78"/>
      <c r="F45" s="106" t="e">
        <f>(28/8)*F47</f>
        <v>#N/A</v>
      </c>
      <c r="G45" s="106" t="e">
        <f>E6/6</f>
        <v>#N/A</v>
      </c>
      <c r="H45" s="79"/>
      <c r="I45" s="78"/>
      <c r="J45" s="78"/>
      <c r="K45" s="78"/>
      <c r="L45" s="78"/>
      <c r="M45" s="78"/>
      <c r="N45" s="78"/>
      <c r="O45" s="62"/>
      <c r="P45" s="62"/>
      <c r="Q45" s="62"/>
      <c r="R45" s="62"/>
      <c r="S45" s="62"/>
      <c r="T45" s="80"/>
      <c r="U45" s="80"/>
      <c r="V45" s="80"/>
      <c r="W45" s="80"/>
      <c r="X45" s="80"/>
      <c r="Y45" s="80"/>
      <c r="Z45" s="80"/>
      <c r="AA45" s="80"/>
      <c r="AB45" s="80"/>
      <c r="AC45" s="80"/>
    </row>
    <row r="46" spans="1:29" ht="15.75" customHeight="1" x14ac:dyDescent="0.25">
      <c r="A46" s="78"/>
      <c r="B46" s="78"/>
      <c r="C46" s="78"/>
      <c r="D46" s="78"/>
      <c r="E46" s="78"/>
      <c r="F46" s="78"/>
      <c r="G46" s="78"/>
      <c r="H46" s="79"/>
      <c r="I46" s="78"/>
      <c r="J46" s="78"/>
      <c r="K46" s="78"/>
      <c r="L46" s="78"/>
      <c r="M46" s="78"/>
      <c r="N46" s="78"/>
      <c r="O46" s="62"/>
      <c r="P46" s="62"/>
      <c r="Q46" s="62"/>
      <c r="R46" s="62"/>
      <c r="S46" s="62"/>
      <c r="T46" s="80"/>
      <c r="U46" s="80"/>
      <c r="V46" s="80"/>
      <c r="W46" s="80"/>
      <c r="X46" s="80"/>
      <c r="Y46" s="80"/>
      <c r="Z46" s="80"/>
      <c r="AA46" s="80"/>
      <c r="AB46" s="80"/>
      <c r="AC46" s="80"/>
    </row>
    <row r="47" spans="1:29" ht="15.75" customHeight="1" x14ac:dyDescent="0.25">
      <c r="A47" s="78"/>
      <c r="B47" s="78"/>
      <c r="C47" s="78"/>
      <c r="D47" s="78" t="s">
        <v>239</v>
      </c>
      <c r="E47" s="78"/>
      <c r="F47" s="106" t="e">
        <f>E6/I12</f>
        <v>#N/A</v>
      </c>
      <c r="G47" s="106"/>
      <c r="H47" s="79" t="s">
        <v>260</v>
      </c>
      <c r="I47" s="78">
        <v>5</v>
      </c>
      <c r="J47" s="78"/>
      <c r="K47" s="78"/>
      <c r="L47" s="78"/>
      <c r="M47" s="78"/>
      <c r="N47" s="78"/>
      <c r="O47" s="62"/>
      <c r="P47" s="62"/>
      <c r="Q47" s="62"/>
      <c r="R47" s="62"/>
      <c r="S47" s="62"/>
      <c r="T47" s="80"/>
      <c r="U47" s="80"/>
      <c r="V47" s="80"/>
      <c r="W47" s="80"/>
      <c r="X47" s="80"/>
      <c r="Y47" s="80"/>
      <c r="Z47" s="80"/>
      <c r="AA47" s="80"/>
      <c r="AB47" s="80"/>
      <c r="AC47" s="80"/>
    </row>
    <row r="48" spans="1:29" ht="15.75" customHeight="1" x14ac:dyDescent="0.25">
      <c r="A48" s="78"/>
      <c r="B48" s="78"/>
      <c r="C48" s="78"/>
      <c r="D48" s="78"/>
      <c r="E48" s="78"/>
      <c r="F48" s="78"/>
      <c r="G48" s="78"/>
      <c r="H48" s="79" t="s">
        <v>261</v>
      </c>
      <c r="I48" s="78">
        <v>2</v>
      </c>
      <c r="J48" s="78"/>
      <c r="K48" s="78"/>
      <c r="L48" s="78"/>
      <c r="M48" s="78"/>
      <c r="N48" s="78"/>
      <c r="O48" s="62"/>
      <c r="P48" s="62"/>
      <c r="Q48" s="62"/>
      <c r="R48" s="62"/>
      <c r="S48" s="62"/>
      <c r="T48" s="80"/>
      <c r="U48" s="80"/>
      <c r="V48" s="80"/>
      <c r="W48" s="80"/>
      <c r="X48" s="80"/>
      <c r="Y48" s="80"/>
      <c r="Z48" s="80"/>
      <c r="AA48" s="80"/>
      <c r="AB48" s="80"/>
      <c r="AC48" s="80"/>
    </row>
    <row r="49" spans="1:29" ht="15.75" customHeight="1" x14ac:dyDescent="0.25">
      <c r="A49" s="78"/>
      <c r="B49" s="78"/>
      <c r="C49" s="78"/>
      <c r="D49" s="78" t="s">
        <v>262</v>
      </c>
      <c r="E49" s="78"/>
      <c r="F49" s="78" t="s">
        <v>226</v>
      </c>
      <c r="G49" s="78" t="s">
        <v>31</v>
      </c>
      <c r="H49" s="112" t="s">
        <v>263</v>
      </c>
      <c r="I49" s="78">
        <v>4</v>
      </c>
      <c r="J49" s="78"/>
      <c r="K49" s="78"/>
      <c r="L49" s="78"/>
      <c r="M49" s="78"/>
      <c r="N49" s="78"/>
      <c r="O49" s="62"/>
      <c r="P49" s="62"/>
      <c r="Q49" s="62"/>
      <c r="R49" s="62"/>
      <c r="S49" s="62"/>
      <c r="T49" s="80"/>
      <c r="U49" s="80"/>
      <c r="V49" s="80"/>
      <c r="W49" s="80"/>
      <c r="X49" s="80"/>
      <c r="Y49" s="80"/>
      <c r="Z49" s="80"/>
      <c r="AA49" s="80"/>
      <c r="AB49" s="80"/>
      <c r="AC49" s="80"/>
    </row>
    <row r="50" spans="1:29" ht="15.75" customHeight="1" x14ac:dyDescent="0.25">
      <c r="A50" s="78"/>
      <c r="B50" s="78"/>
      <c r="C50" s="78"/>
      <c r="D50" s="78" t="s">
        <v>264</v>
      </c>
      <c r="E50" s="78"/>
      <c r="F50" s="106" t="e">
        <f>(0.5/7)*F62*29</f>
        <v>#N/A</v>
      </c>
      <c r="G50" s="78" t="s">
        <v>7</v>
      </c>
      <c r="H50" s="79"/>
      <c r="I50" s="78"/>
      <c r="J50" s="78"/>
      <c r="K50" s="78"/>
      <c r="L50" s="78"/>
      <c r="M50" s="78"/>
      <c r="N50" s="78"/>
      <c r="O50" s="62"/>
      <c r="P50" s="62"/>
      <c r="Q50" s="62"/>
      <c r="R50" s="62"/>
      <c r="S50" s="62"/>
      <c r="T50" s="80"/>
      <c r="U50" s="80"/>
      <c r="V50" s="80"/>
      <c r="W50" s="80"/>
      <c r="X50" s="80"/>
      <c r="Y50" s="80"/>
      <c r="Z50" s="80"/>
      <c r="AA50" s="80"/>
      <c r="AB50" s="80"/>
      <c r="AC50" s="80"/>
    </row>
    <row r="51" spans="1:29" ht="15.75" customHeight="1" x14ac:dyDescent="0.25">
      <c r="A51" s="78"/>
      <c r="B51" s="78"/>
      <c r="C51" s="78"/>
      <c r="D51" s="78" t="s">
        <v>265</v>
      </c>
      <c r="E51" s="78"/>
      <c r="F51" s="106" t="e">
        <f>F62*2</f>
        <v>#N/A</v>
      </c>
      <c r="G51" s="78" t="s">
        <v>7</v>
      </c>
      <c r="H51" s="79"/>
      <c r="I51" s="78"/>
      <c r="J51" s="78"/>
      <c r="K51" s="78"/>
      <c r="L51" s="78"/>
      <c r="M51" s="78"/>
      <c r="N51" s="78"/>
      <c r="O51" s="62"/>
      <c r="P51" s="62"/>
      <c r="Q51" s="62"/>
      <c r="R51" s="62"/>
      <c r="S51" s="62"/>
      <c r="T51" s="80"/>
      <c r="U51" s="80"/>
      <c r="V51" s="80"/>
      <c r="W51" s="80"/>
      <c r="X51" s="80"/>
      <c r="Y51" s="80"/>
      <c r="Z51" s="80"/>
      <c r="AA51" s="80"/>
      <c r="AB51" s="80"/>
      <c r="AC51" s="80"/>
    </row>
    <row r="52" spans="1:29" ht="15.75" customHeight="1" x14ac:dyDescent="0.25">
      <c r="A52" s="78"/>
      <c r="B52" s="78"/>
      <c r="C52" s="78"/>
      <c r="D52" s="78" t="s">
        <v>266</v>
      </c>
      <c r="E52" s="78"/>
      <c r="F52" s="106" t="e">
        <f>F62*2</f>
        <v>#N/A</v>
      </c>
      <c r="G52" s="78" t="s">
        <v>7</v>
      </c>
      <c r="H52" s="79"/>
      <c r="I52" s="78"/>
      <c r="J52" s="78"/>
      <c r="K52" s="78"/>
      <c r="L52" s="78"/>
      <c r="M52" s="78"/>
      <c r="N52" s="78"/>
      <c r="O52" s="62"/>
      <c r="P52" s="62"/>
      <c r="Q52" s="62"/>
      <c r="R52" s="62"/>
      <c r="S52" s="62"/>
      <c r="T52" s="80"/>
      <c r="U52" s="80"/>
      <c r="V52" s="80"/>
      <c r="W52" s="80"/>
      <c r="X52" s="80"/>
      <c r="Y52" s="80"/>
      <c r="Z52" s="80"/>
      <c r="AA52" s="80"/>
      <c r="AB52" s="80"/>
      <c r="AC52" s="80"/>
    </row>
    <row r="53" spans="1:29" ht="15.75" customHeight="1" x14ac:dyDescent="0.25">
      <c r="A53" s="78"/>
      <c r="B53" s="78"/>
      <c r="C53" s="78"/>
      <c r="D53" s="78" t="s">
        <v>267</v>
      </c>
      <c r="E53" s="78"/>
      <c r="F53" s="106" t="e">
        <f>F62*1</f>
        <v>#N/A</v>
      </c>
      <c r="G53" s="78" t="s">
        <v>7</v>
      </c>
      <c r="H53" s="79"/>
      <c r="I53" s="78"/>
      <c r="J53" s="78"/>
      <c r="K53" s="78"/>
      <c r="L53" s="78"/>
      <c r="M53" s="78"/>
      <c r="N53" s="78"/>
      <c r="O53" s="62"/>
      <c r="P53" s="62"/>
      <c r="Q53" s="62"/>
      <c r="R53" s="62"/>
      <c r="S53" s="62"/>
      <c r="T53" s="80"/>
      <c r="U53" s="80"/>
      <c r="V53" s="80"/>
      <c r="W53" s="80"/>
      <c r="X53" s="80"/>
      <c r="Y53" s="80"/>
      <c r="Z53" s="80"/>
      <c r="AA53" s="80"/>
      <c r="AB53" s="80"/>
      <c r="AC53" s="80"/>
    </row>
    <row r="54" spans="1:29" ht="15.75" customHeight="1" x14ac:dyDescent="0.25">
      <c r="A54" s="78"/>
      <c r="B54" s="78"/>
      <c r="C54" s="78"/>
      <c r="D54" s="78" t="s">
        <v>268</v>
      </c>
      <c r="E54" s="78"/>
      <c r="F54" s="106" t="e">
        <f>(100/14.66)*F62</f>
        <v>#N/A</v>
      </c>
      <c r="G54" s="78" t="s">
        <v>7</v>
      </c>
      <c r="H54" s="79"/>
      <c r="I54" s="78"/>
      <c r="J54" s="78"/>
      <c r="K54" s="78"/>
      <c r="L54" s="78"/>
      <c r="M54" s="78"/>
      <c r="N54" s="78"/>
      <c r="O54" s="62"/>
      <c r="P54" s="62"/>
      <c r="Q54" s="62"/>
      <c r="R54" s="62"/>
      <c r="S54" s="62"/>
      <c r="T54" s="80"/>
      <c r="U54" s="80"/>
      <c r="V54" s="80"/>
      <c r="W54" s="80"/>
      <c r="X54" s="80"/>
      <c r="Y54" s="80"/>
      <c r="Z54" s="80"/>
      <c r="AA54" s="80"/>
      <c r="AB54" s="80"/>
      <c r="AC54" s="80"/>
    </row>
    <row r="55" spans="1:29" ht="15.75" customHeight="1" x14ac:dyDescent="0.25">
      <c r="A55" s="78"/>
      <c r="B55" s="78"/>
      <c r="C55" s="78"/>
      <c r="D55" s="78" t="s">
        <v>269</v>
      </c>
      <c r="E55" s="78"/>
      <c r="F55" s="106" t="e">
        <f>F62*1</f>
        <v>#N/A</v>
      </c>
      <c r="G55" s="78" t="s">
        <v>7</v>
      </c>
      <c r="H55" s="79"/>
      <c r="I55" s="78"/>
      <c r="J55" s="78"/>
      <c r="K55" s="78"/>
      <c r="L55" s="78"/>
      <c r="M55" s="78"/>
      <c r="N55" s="78"/>
      <c r="O55" s="62"/>
      <c r="P55" s="62"/>
      <c r="Q55" s="62"/>
      <c r="R55" s="62"/>
      <c r="S55" s="62"/>
      <c r="T55" s="80"/>
      <c r="U55" s="80"/>
      <c r="V55" s="80"/>
      <c r="W55" s="80"/>
      <c r="X55" s="80"/>
      <c r="Y55" s="80"/>
      <c r="Z55" s="80"/>
      <c r="AA55" s="80"/>
      <c r="AB55" s="80"/>
      <c r="AC55" s="80"/>
    </row>
    <row r="56" spans="1:29" ht="15.75" customHeight="1" x14ac:dyDescent="0.25">
      <c r="A56" s="78"/>
      <c r="B56" s="78"/>
      <c r="C56" s="78"/>
      <c r="D56" s="78" t="s">
        <v>270</v>
      </c>
      <c r="E56" s="78"/>
      <c r="F56" s="106" t="e">
        <f>(28/12)*F62</f>
        <v>#N/A</v>
      </c>
      <c r="G56" s="78" t="s">
        <v>7</v>
      </c>
      <c r="H56" s="79"/>
      <c r="I56" s="78"/>
      <c r="J56" s="78"/>
      <c r="K56" s="78"/>
      <c r="L56" s="78"/>
      <c r="M56" s="78"/>
      <c r="N56" s="78"/>
      <c r="O56" s="62"/>
      <c r="P56" s="62"/>
      <c r="Q56" s="62"/>
      <c r="R56" s="62"/>
      <c r="S56" s="62"/>
      <c r="T56" s="80"/>
      <c r="U56" s="80"/>
      <c r="V56" s="80"/>
      <c r="W56" s="80"/>
      <c r="X56" s="80"/>
      <c r="Y56" s="80"/>
      <c r="Z56" s="80"/>
      <c r="AA56" s="80"/>
      <c r="AB56" s="80"/>
      <c r="AC56" s="80"/>
    </row>
    <row r="57" spans="1:29" ht="15.75" customHeight="1" x14ac:dyDescent="0.25">
      <c r="A57" s="78"/>
      <c r="B57" s="78"/>
      <c r="C57" s="78"/>
      <c r="D57" s="78" t="s">
        <v>271</v>
      </c>
      <c r="E57" s="78"/>
      <c r="F57" s="106" t="e">
        <f>F62*1</f>
        <v>#N/A</v>
      </c>
      <c r="G57" s="78" t="s">
        <v>7</v>
      </c>
      <c r="H57" s="79"/>
      <c r="I57" s="78"/>
      <c r="J57" s="78"/>
      <c r="K57" s="78"/>
      <c r="L57" s="78"/>
      <c r="M57" s="78"/>
      <c r="N57" s="78"/>
      <c r="O57" s="62"/>
      <c r="P57" s="62"/>
      <c r="Q57" s="62"/>
      <c r="R57" s="62"/>
      <c r="S57" s="62"/>
      <c r="T57" s="80"/>
      <c r="U57" s="80"/>
      <c r="V57" s="80"/>
      <c r="W57" s="80"/>
      <c r="X57" s="80"/>
      <c r="Y57" s="80"/>
      <c r="Z57" s="80"/>
      <c r="AA57" s="80"/>
      <c r="AB57" s="80"/>
      <c r="AC57" s="80"/>
    </row>
    <row r="58" spans="1:29" ht="15.75" customHeight="1" x14ac:dyDescent="0.25">
      <c r="A58" s="78"/>
      <c r="B58" s="78"/>
      <c r="C58" s="78"/>
      <c r="D58" s="78" t="s">
        <v>272</v>
      </c>
      <c r="E58" s="78"/>
      <c r="F58" s="106" t="e">
        <f>(28/18)*F62</f>
        <v>#N/A</v>
      </c>
      <c r="G58" s="78" t="s">
        <v>7</v>
      </c>
      <c r="H58" s="79"/>
      <c r="I58" s="78"/>
      <c r="J58" s="78"/>
      <c r="K58" s="78"/>
      <c r="L58" s="78"/>
      <c r="M58" s="78"/>
      <c r="N58" s="78"/>
      <c r="O58" s="62"/>
      <c r="P58" s="62"/>
      <c r="Q58" s="62"/>
      <c r="R58" s="62"/>
      <c r="S58" s="62"/>
      <c r="T58" s="80"/>
      <c r="U58" s="80"/>
      <c r="V58" s="80"/>
      <c r="W58" s="80"/>
      <c r="X58" s="80"/>
      <c r="Y58" s="80"/>
      <c r="Z58" s="80"/>
      <c r="AA58" s="80"/>
      <c r="AB58" s="80"/>
      <c r="AC58" s="80"/>
    </row>
    <row r="59" spans="1:29" ht="15.75" customHeight="1" x14ac:dyDescent="0.25">
      <c r="A59" s="79"/>
      <c r="B59" s="79"/>
      <c r="C59" s="79"/>
      <c r="D59" s="79" t="s">
        <v>273</v>
      </c>
      <c r="E59" s="79"/>
      <c r="F59" s="110" t="e">
        <f>(28/12)*F62</f>
        <v>#N/A</v>
      </c>
      <c r="G59" s="79" t="s">
        <v>7</v>
      </c>
      <c r="H59" s="110"/>
      <c r="I59" s="79"/>
      <c r="J59" s="79"/>
      <c r="K59" s="79"/>
      <c r="L59" s="79"/>
      <c r="M59" s="79"/>
      <c r="N59" s="78"/>
      <c r="O59" s="62"/>
      <c r="P59" s="62"/>
      <c r="Q59" s="62"/>
      <c r="R59" s="62"/>
      <c r="S59" s="62"/>
      <c r="T59" s="80"/>
      <c r="U59" s="80"/>
      <c r="V59" s="80"/>
      <c r="W59" s="80"/>
      <c r="X59" s="80"/>
      <c r="Y59" s="80"/>
      <c r="Z59" s="80"/>
      <c r="AA59" s="80"/>
      <c r="AB59" s="80"/>
      <c r="AC59" s="80"/>
    </row>
    <row r="60" spans="1:29" ht="15.75" customHeight="1" x14ac:dyDescent="0.25">
      <c r="A60" s="79"/>
      <c r="B60" s="79"/>
      <c r="C60" s="79"/>
      <c r="D60" s="79" t="s">
        <v>274</v>
      </c>
      <c r="E60" s="79"/>
      <c r="F60" s="110" t="e">
        <f>(28/14)*F62</f>
        <v>#N/A</v>
      </c>
      <c r="G60" s="79" t="s">
        <v>7</v>
      </c>
      <c r="H60" s="79"/>
      <c r="I60" s="79"/>
      <c r="J60" s="79"/>
      <c r="K60" s="79"/>
      <c r="L60" s="79"/>
      <c r="M60" s="79"/>
      <c r="N60" s="79"/>
      <c r="O60" s="62"/>
      <c r="P60" s="62"/>
      <c r="Q60" s="62"/>
      <c r="R60" s="62"/>
      <c r="S60" s="62"/>
      <c r="T60" s="80"/>
      <c r="U60" s="80"/>
      <c r="V60" s="80"/>
      <c r="W60" s="80"/>
      <c r="X60" s="80"/>
      <c r="Y60" s="80"/>
      <c r="Z60" s="80"/>
      <c r="AA60" s="80"/>
      <c r="AB60" s="80"/>
      <c r="AC60" s="80"/>
    </row>
    <row r="61" spans="1:29" ht="15.75" customHeight="1" x14ac:dyDescent="0.25">
      <c r="A61" s="113"/>
      <c r="B61" s="114"/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79"/>
      <c r="O61" s="79"/>
      <c r="P61" s="79"/>
      <c r="Q61" s="79"/>
      <c r="R61" s="79"/>
      <c r="S61" s="79"/>
      <c r="T61" s="80"/>
      <c r="U61" s="80"/>
      <c r="V61" s="80"/>
      <c r="W61" s="80"/>
      <c r="X61" s="80"/>
      <c r="Y61" s="80"/>
      <c r="Z61" s="80"/>
      <c r="AA61" s="80"/>
      <c r="AB61" s="80"/>
      <c r="AC61" s="80"/>
    </row>
    <row r="62" spans="1:29" ht="15.75" customHeight="1" x14ac:dyDescent="0.25">
      <c r="A62" s="115"/>
      <c r="B62" s="79"/>
      <c r="C62" s="79"/>
      <c r="D62" s="79" t="s">
        <v>239</v>
      </c>
      <c r="E62" s="79"/>
      <c r="F62" s="110" t="e">
        <f>E7/K12</f>
        <v>#N/A</v>
      </c>
      <c r="G62" s="110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80"/>
      <c r="U62" s="80"/>
      <c r="V62" s="80"/>
      <c r="W62" s="80"/>
      <c r="X62" s="80"/>
      <c r="Y62" s="80"/>
      <c r="Z62" s="80"/>
      <c r="AA62" s="80"/>
      <c r="AB62" s="80"/>
      <c r="AC62" s="80"/>
    </row>
    <row r="63" spans="1:29" ht="15.75" customHeight="1" x14ac:dyDescent="0.25">
      <c r="A63" s="115"/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80"/>
      <c r="U63" s="80"/>
      <c r="V63" s="80"/>
      <c r="W63" s="80"/>
      <c r="X63" s="80"/>
      <c r="Y63" s="80"/>
      <c r="Z63" s="80"/>
      <c r="AA63" s="80"/>
      <c r="AB63" s="80"/>
      <c r="AC63" s="80"/>
    </row>
    <row r="64" spans="1:29" ht="15.75" customHeight="1" x14ac:dyDescent="0.25">
      <c r="A64" s="115"/>
      <c r="B64" s="79"/>
      <c r="C64" s="79"/>
      <c r="D64" s="79" t="s">
        <v>275</v>
      </c>
      <c r="E64" s="79"/>
      <c r="F64" s="79" t="s">
        <v>226</v>
      </c>
      <c r="G64" s="79" t="s">
        <v>31</v>
      </c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80"/>
      <c r="U64" s="80"/>
      <c r="V64" s="80"/>
      <c r="W64" s="80"/>
      <c r="X64" s="80"/>
      <c r="Y64" s="80"/>
      <c r="Z64" s="80"/>
      <c r="AA64" s="80"/>
      <c r="AB64" s="80"/>
      <c r="AC64" s="80"/>
    </row>
    <row r="65" spans="1:29" ht="15.75" customHeight="1" x14ac:dyDescent="0.25">
      <c r="A65" s="115"/>
      <c r="B65" s="79"/>
      <c r="C65" s="79"/>
      <c r="D65" s="79" t="s">
        <v>276</v>
      </c>
      <c r="E65" s="79"/>
      <c r="F65" s="79" t="e">
        <f>F73/0.0664</f>
        <v>#N/A</v>
      </c>
      <c r="G65" s="79" t="s">
        <v>7</v>
      </c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80"/>
      <c r="U65" s="80"/>
      <c r="V65" s="80"/>
      <c r="W65" s="80"/>
      <c r="X65" s="80"/>
      <c r="Y65" s="80"/>
      <c r="Z65" s="80"/>
      <c r="AA65" s="80"/>
      <c r="AB65" s="80"/>
      <c r="AC65" s="80"/>
    </row>
    <row r="66" spans="1:29" ht="15.75" customHeight="1" x14ac:dyDescent="0.25">
      <c r="A66" s="115"/>
      <c r="B66" s="79"/>
      <c r="C66" s="79"/>
      <c r="D66" s="79" t="s">
        <v>277</v>
      </c>
      <c r="E66" s="79"/>
      <c r="F66" s="79" t="e">
        <f>F73/0.03</f>
        <v>#N/A</v>
      </c>
      <c r="G66" s="79" t="s">
        <v>7</v>
      </c>
      <c r="H66" s="111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80"/>
      <c r="U66" s="80"/>
      <c r="V66" s="80"/>
      <c r="W66" s="80"/>
      <c r="X66" s="80"/>
      <c r="Y66" s="80"/>
      <c r="Z66" s="80"/>
      <c r="AA66" s="80"/>
      <c r="AB66" s="80"/>
      <c r="AC66" s="80"/>
    </row>
    <row r="67" spans="1:29" ht="15.75" customHeight="1" x14ac:dyDescent="0.25">
      <c r="A67" s="115"/>
      <c r="B67" s="79"/>
      <c r="C67" s="79"/>
      <c r="D67" s="79" t="s">
        <v>278</v>
      </c>
      <c r="E67" s="79"/>
      <c r="F67" s="79" t="e">
        <f>F73/(1.03/28)</f>
        <v>#N/A</v>
      </c>
      <c r="G67" s="79" t="s">
        <v>7</v>
      </c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80"/>
      <c r="U67" s="80"/>
      <c r="V67" s="80"/>
      <c r="W67" s="80"/>
      <c r="X67" s="80"/>
      <c r="Y67" s="80"/>
      <c r="Z67" s="80"/>
      <c r="AA67" s="80"/>
      <c r="AB67" s="80"/>
      <c r="AC67" s="80"/>
    </row>
    <row r="68" spans="1:29" ht="15.75" customHeight="1" x14ac:dyDescent="0.25">
      <c r="A68" s="115"/>
      <c r="B68" s="79"/>
      <c r="C68" s="79"/>
      <c r="D68" s="79" t="s">
        <v>279</v>
      </c>
      <c r="E68" s="79"/>
      <c r="F68" s="79" t="e">
        <f>F73/(1.5/28)</f>
        <v>#N/A</v>
      </c>
      <c r="G68" s="79" t="s">
        <v>7</v>
      </c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80"/>
      <c r="U68" s="80"/>
      <c r="V68" s="80"/>
      <c r="W68" s="80"/>
      <c r="X68" s="80"/>
      <c r="Y68" s="80"/>
      <c r="Z68" s="80"/>
      <c r="AA68" s="80"/>
      <c r="AB68" s="80"/>
      <c r="AC68" s="80"/>
    </row>
    <row r="69" spans="1:29" ht="15.75" customHeight="1" x14ac:dyDescent="0.25">
      <c r="A69" s="115"/>
      <c r="B69" s="79"/>
      <c r="C69" s="79"/>
      <c r="D69" s="79" t="s">
        <v>280</v>
      </c>
      <c r="E69" s="79"/>
      <c r="F69" s="79" t="e">
        <f>F73/(1.1/28)</f>
        <v>#N/A</v>
      </c>
      <c r="G69" s="79" t="s">
        <v>7</v>
      </c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80"/>
      <c r="U69" s="80"/>
      <c r="V69" s="80"/>
      <c r="W69" s="80"/>
      <c r="X69" s="80"/>
      <c r="Y69" s="80"/>
      <c r="Z69" s="80"/>
      <c r="AA69" s="80"/>
      <c r="AB69" s="80"/>
      <c r="AC69" s="80"/>
    </row>
    <row r="70" spans="1:29" ht="15.75" customHeight="1" x14ac:dyDescent="0.25">
      <c r="A70" s="115"/>
      <c r="B70" s="79"/>
      <c r="C70" s="79"/>
      <c r="D70" s="79" t="s">
        <v>281</v>
      </c>
      <c r="E70" s="79"/>
      <c r="F70" s="79" t="e">
        <f>F73/(4.64/100)</f>
        <v>#N/A</v>
      </c>
      <c r="G70" s="79" t="s">
        <v>7</v>
      </c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80"/>
      <c r="U70" s="80"/>
      <c r="V70" s="80"/>
      <c r="W70" s="80"/>
      <c r="X70" s="80"/>
      <c r="Y70" s="80"/>
      <c r="Z70" s="80"/>
      <c r="AA70" s="80"/>
      <c r="AB70" s="80"/>
      <c r="AC70" s="80"/>
    </row>
    <row r="71" spans="1:29" ht="15.75" customHeight="1" x14ac:dyDescent="0.25">
      <c r="A71" s="115"/>
      <c r="B71" s="79"/>
      <c r="C71" s="79"/>
      <c r="D71" s="79" t="s">
        <v>282</v>
      </c>
      <c r="E71" s="79"/>
      <c r="F71" s="79" t="e">
        <f>F73/(6.03/100)</f>
        <v>#N/A</v>
      </c>
      <c r="G71" s="79" t="s">
        <v>7</v>
      </c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80"/>
      <c r="U71" s="80"/>
      <c r="V71" s="80"/>
      <c r="W71" s="80"/>
      <c r="X71" s="80"/>
      <c r="Y71" s="80"/>
      <c r="Z71" s="80"/>
      <c r="AA71" s="80"/>
      <c r="AB71" s="80"/>
      <c r="AC71" s="80"/>
    </row>
    <row r="72" spans="1:29" ht="15.75" customHeight="1" x14ac:dyDescent="0.25">
      <c r="A72" s="115"/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80"/>
      <c r="U72" s="80"/>
      <c r="V72" s="80"/>
      <c r="W72" s="80"/>
      <c r="X72" s="80"/>
      <c r="Y72" s="80"/>
      <c r="Z72" s="80"/>
      <c r="AA72" s="80"/>
      <c r="AB72" s="80"/>
      <c r="AC72" s="80"/>
    </row>
    <row r="73" spans="1:29" ht="15.75" customHeight="1" x14ac:dyDescent="0.25">
      <c r="A73" s="115"/>
      <c r="B73" s="79"/>
      <c r="C73" s="79"/>
      <c r="D73" s="79" t="s">
        <v>239</v>
      </c>
      <c r="E73" s="79"/>
      <c r="F73" s="79" t="e">
        <f>E5/5</f>
        <v>#N/A</v>
      </c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80"/>
      <c r="U73" s="80"/>
      <c r="V73" s="80"/>
      <c r="W73" s="80"/>
      <c r="X73" s="80"/>
      <c r="Y73" s="80"/>
      <c r="Z73" s="80"/>
      <c r="AA73" s="80"/>
      <c r="AB73" s="80"/>
      <c r="AC73" s="80"/>
    </row>
    <row r="74" spans="1:29" ht="15.75" customHeight="1" x14ac:dyDescent="0.25">
      <c r="A74" s="115"/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80"/>
      <c r="U74" s="80"/>
      <c r="V74" s="80"/>
      <c r="W74" s="80"/>
      <c r="X74" s="80"/>
      <c r="Y74" s="80"/>
      <c r="Z74" s="80"/>
      <c r="AA74" s="80"/>
      <c r="AB74" s="80"/>
      <c r="AC74" s="80"/>
    </row>
    <row r="75" spans="1:29" ht="15.75" customHeight="1" x14ac:dyDescent="0.25">
      <c r="A75" s="115"/>
      <c r="B75" s="79"/>
      <c r="C75" s="79"/>
      <c r="D75" s="79" t="s">
        <v>283</v>
      </c>
      <c r="E75" s="79"/>
      <c r="F75" s="79" t="s">
        <v>226</v>
      </c>
      <c r="G75" s="79" t="s">
        <v>31</v>
      </c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80"/>
      <c r="U75" s="80"/>
      <c r="V75" s="80"/>
      <c r="W75" s="80"/>
      <c r="X75" s="80"/>
      <c r="Y75" s="80"/>
      <c r="Z75" s="80"/>
      <c r="AA75" s="80"/>
      <c r="AB75" s="80"/>
      <c r="AC75" s="80"/>
    </row>
    <row r="76" spans="1:29" ht="15.75" customHeight="1" x14ac:dyDescent="0.25">
      <c r="A76" s="115"/>
      <c r="B76" s="79"/>
      <c r="C76" s="79"/>
      <c r="D76" s="79" t="s">
        <v>227</v>
      </c>
      <c r="E76" s="79"/>
      <c r="F76" s="110" t="e">
        <f>(100/20)*F88</f>
        <v>#N/A</v>
      </c>
      <c r="G76" s="79" t="s">
        <v>7</v>
      </c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80"/>
      <c r="U76" s="80"/>
      <c r="V76" s="80"/>
      <c r="W76" s="80"/>
      <c r="X76" s="80"/>
      <c r="Y76" s="80"/>
      <c r="Z76" s="80"/>
      <c r="AA76" s="80"/>
      <c r="AB76" s="80"/>
      <c r="AC76" s="80"/>
    </row>
    <row r="77" spans="1:29" ht="15.75" customHeight="1" x14ac:dyDescent="0.25">
      <c r="A77" s="115"/>
      <c r="B77" s="79"/>
      <c r="C77" s="79"/>
      <c r="D77" s="79" t="s">
        <v>228</v>
      </c>
      <c r="E77" s="79"/>
      <c r="F77" s="116" t="e">
        <f>F88/15</f>
        <v>#N/A</v>
      </c>
      <c r="G77" s="79" t="s">
        <v>22</v>
      </c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80"/>
      <c r="U77" s="80"/>
      <c r="V77" s="80"/>
      <c r="W77" s="80"/>
      <c r="X77" s="80"/>
      <c r="Y77" s="80"/>
      <c r="Z77" s="80"/>
      <c r="AA77" s="80"/>
      <c r="AB77" s="80"/>
      <c r="AC77" s="80"/>
    </row>
    <row r="78" spans="1:29" ht="15.75" customHeight="1" x14ac:dyDescent="0.25">
      <c r="A78" s="115"/>
      <c r="B78" s="79"/>
      <c r="C78" s="79"/>
      <c r="D78" s="79" t="s">
        <v>230</v>
      </c>
      <c r="E78" s="79"/>
      <c r="F78" s="110" t="e">
        <f>(45/30)*F88</f>
        <v>#N/A</v>
      </c>
      <c r="G78" s="79" t="s">
        <v>7</v>
      </c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80"/>
      <c r="U78" s="80"/>
      <c r="V78" s="80"/>
      <c r="W78" s="80"/>
      <c r="X78" s="80"/>
      <c r="Y78" s="80"/>
      <c r="Z78" s="80"/>
      <c r="AA78" s="80"/>
      <c r="AB78" s="80"/>
      <c r="AC78" s="80"/>
    </row>
    <row r="79" spans="1:29" ht="15.75" customHeight="1" x14ac:dyDescent="0.25">
      <c r="A79" s="115"/>
      <c r="B79" s="79"/>
      <c r="C79" s="79"/>
      <c r="D79" s="79" t="s">
        <v>231</v>
      </c>
      <c r="E79" s="79"/>
      <c r="F79" s="110" t="e">
        <f>(100/82.4)*F88</f>
        <v>#N/A</v>
      </c>
      <c r="G79" s="79" t="s">
        <v>7</v>
      </c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80"/>
      <c r="U79" s="80"/>
      <c r="V79" s="80"/>
      <c r="W79" s="80"/>
      <c r="X79" s="80"/>
      <c r="Y79" s="80"/>
      <c r="Z79" s="80"/>
      <c r="AA79" s="80"/>
      <c r="AB79" s="80"/>
      <c r="AC79" s="80"/>
    </row>
    <row r="80" spans="1:29" ht="15.75" customHeight="1" x14ac:dyDescent="0.25">
      <c r="A80" s="115"/>
      <c r="B80" s="79"/>
      <c r="C80" s="79"/>
      <c r="D80" s="79" t="s">
        <v>232</v>
      </c>
      <c r="E80" s="79"/>
      <c r="F80" s="110" t="e">
        <f>(100/23.5)*F88</f>
        <v>#N/A</v>
      </c>
      <c r="G80" s="79" t="s">
        <v>7</v>
      </c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80"/>
      <c r="U80" s="80"/>
      <c r="V80" s="80"/>
      <c r="W80" s="80"/>
      <c r="X80" s="80"/>
      <c r="Y80" s="80"/>
      <c r="Z80" s="80"/>
      <c r="AA80" s="80"/>
      <c r="AB80" s="80"/>
      <c r="AC80" s="80"/>
    </row>
    <row r="81" spans="1:29" ht="15.75" customHeight="1" x14ac:dyDescent="0.25">
      <c r="A81" s="115"/>
      <c r="B81" s="79"/>
      <c r="C81" s="79"/>
      <c r="D81" s="79" t="s">
        <v>233</v>
      </c>
      <c r="E81" s="79"/>
      <c r="F81" s="110" t="e">
        <f>(100/28.5)*F88</f>
        <v>#N/A</v>
      </c>
      <c r="G81" s="79" t="s">
        <v>7</v>
      </c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80"/>
      <c r="U81" s="80"/>
      <c r="V81" s="80"/>
      <c r="W81" s="80"/>
      <c r="X81" s="80"/>
      <c r="Y81" s="80"/>
      <c r="Z81" s="80"/>
      <c r="AA81" s="80"/>
      <c r="AB81" s="80"/>
      <c r="AC81" s="80"/>
    </row>
    <row r="82" spans="1:29" ht="15.75" customHeight="1" x14ac:dyDescent="0.25">
      <c r="A82" s="115"/>
      <c r="B82" s="79"/>
      <c r="C82" s="79"/>
      <c r="D82" s="79" t="s">
        <v>234</v>
      </c>
      <c r="E82" s="79"/>
      <c r="F82" s="110" t="e">
        <f>(200/45)*F88</f>
        <v>#N/A</v>
      </c>
      <c r="G82" s="79" t="s">
        <v>7</v>
      </c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80"/>
      <c r="U82" s="80"/>
      <c r="V82" s="80"/>
      <c r="W82" s="80"/>
      <c r="X82" s="80"/>
      <c r="Y82" s="80"/>
      <c r="Z82" s="80"/>
      <c r="AA82" s="80"/>
      <c r="AB82" s="80"/>
      <c r="AC82" s="80"/>
    </row>
    <row r="83" spans="1:29" ht="15.75" customHeight="1" x14ac:dyDescent="0.25">
      <c r="A83" s="115"/>
      <c r="B83" s="79"/>
      <c r="C83" s="79"/>
      <c r="D83" s="79" t="s">
        <v>235</v>
      </c>
      <c r="E83" s="79"/>
      <c r="F83" s="110" t="e">
        <f>(100/21.3)*F88</f>
        <v>#N/A</v>
      </c>
      <c r="G83" s="79" t="s">
        <v>7</v>
      </c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80"/>
      <c r="U83" s="80"/>
      <c r="V83" s="80"/>
      <c r="W83" s="80"/>
      <c r="X83" s="80"/>
      <c r="Y83" s="80"/>
      <c r="Z83" s="80"/>
      <c r="AA83" s="80"/>
      <c r="AB83" s="80"/>
      <c r="AC83" s="80"/>
    </row>
    <row r="84" spans="1:29" ht="15.75" customHeight="1" x14ac:dyDescent="0.25">
      <c r="A84" s="115"/>
      <c r="B84" s="79"/>
      <c r="C84" s="79"/>
      <c r="D84" s="79" t="s">
        <v>236</v>
      </c>
      <c r="E84" s="79"/>
      <c r="F84" s="110" t="e">
        <f>(100/19.6)*F88</f>
        <v>#N/A</v>
      </c>
      <c r="G84" s="79" t="s">
        <v>7</v>
      </c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80"/>
      <c r="U84" s="80"/>
      <c r="V84" s="80"/>
      <c r="W84" s="80"/>
      <c r="X84" s="80"/>
      <c r="Y84" s="80"/>
      <c r="Z84" s="80"/>
      <c r="AA84" s="80"/>
      <c r="AB84" s="80"/>
      <c r="AC84" s="80"/>
    </row>
    <row r="85" spans="1:29" ht="15.75" customHeight="1" x14ac:dyDescent="0.25">
      <c r="A85" s="115"/>
      <c r="B85" s="79"/>
      <c r="C85" s="79"/>
      <c r="D85" s="79" t="s">
        <v>237</v>
      </c>
      <c r="E85" s="79"/>
      <c r="F85" s="110" t="e">
        <f>(28/4)*F88</f>
        <v>#N/A</v>
      </c>
      <c r="G85" s="79" t="s">
        <v>7</v>
      </c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  <c r="T85" s="80"/>
      <c r="U85" s="80"/>
      <c r="V85" s="80"/>
      <c r="W85" s="80"/>
      <c r="X85" s="80"/>
      <c r="Y85" s="80"/>
      <c r="Z85" s="80"/>
      <c r="AA85" s="80"/>
      <c r="AB85" s="80"/>
      <c r="AC85" s="80"/>
    </row>
    <row r="86" spans="1:29" ht="15.75" customHeight="1" x14ac:dyDescent="0.25">
      <c r="A86" s="115"/>
      <c r="B86" s="79"/>
      <c r="C86" s="79"/>
      <c r="D86" s="79" t="s">
        <v>238</v>
      </c>
      <c r="E86" s="79"/>
      <c r="F86" s="110" t="e">
        <f>(28/7)*F88</f>
        <v>#N/A</v>
      </c>
      <c r="G86" s="79" t="s">
        <v>7</v>
      </c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/>
      <c r="T86" s="80"/>
      <c r="U86" s="80"/>
      <c r="V86" s="80"/>
      <c r="W86" s="80"/>
      <c r="X86" s="80"/>
      <c r="Y86" s="80"/>
      <c r="Z86" s="80"/>
      <c r="AA86" s="80"/>
      <c r="AB86" s="80"/>
      <c r="AC86" s="80"/>
    </row>
    <row r="87" spans="1:29" ht="15.75" customHeight="1" x14ac:dyDescent="0.25">
      <c r="A87" s="115"/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80"/>
      <c r="U87" s="80"/>
      <c r="V87" s="80"/>
      <c r="W87" s="80"/>
      <c r="X87" s="80"/>
      <c r="Y87" s="80"/>
      <c r="Z87" s="80"/>
      <c r="AA87" s="80"/>
      <c r="AB87" s="80"/>
      <c r="AC87" s="80"/>
    </row>
    <row r="88" spans="1:29" ht="15.75" customHeight="1" x14ac:dyDescent="0.25">
      <c r="A88" s="115"/>
      <c r="B88" s="79"/>
      <c r="C88" s="79"/>
      <c r="D88" s="79" t="s">
        <v>239</v>
      </c>
      <c r="E88" s="79"/>
      <c r="F88" s="110" t="e">
        <f>(E5/J12)*0.85</f>
        <v>#N/A</v>
      </c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79"/>
      <c r="T88" s="80"/>
      <c r="U88" s="80"/>
      <c r="V88" s="80"/>
      <c r="W88" s="80"/>
      <c r="X88" s="80"/>
      <c r="Y88" s="80"/>
      <c r="Z88" s="80"/>
      <c r="AA88" s="80"/>
      <c r="AB88" s="80"/>
      <c r="AC88" s="80"/>
    </row>
    <row r="89" spans="1:29" ht="15.75" customHeight="1" x14ac:dyDescent="0.25">
      <c r="A89" s="62"/>
      <c r="B89" s="62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79"/>
      <c r="O89" s="79"/>
      <c r="P89" s="79"/>
      <c r="Q89" s="79"/>
      <c r="R89" s="79"/>
      <c r="S89" s="79"/>
      <c r="T89" s="80"/>
      <c r="U89" s="80"/>
      <c r="V89" s="80"/>
      <c r="W89" s="80"/>
      <c r="X89" s="80"/>
      <c r="Y89" s="80"/>
      <c r="Z89" s="80"/>
      <c r="AA89" s="80"/>
      <c r="AB89" s="80"/>
      <c r="AC89" s="80"/>
    </row>
    <row r="90" spans="1:29" ht="15.75" hidden="1" customHeight="1" x14ac:dyDescent="0.25">
      <c r="A90" s="80"/>
      <c r="B90" s="80"/>
      <c r="C90" s="80"/>
      <c r="D90" s="80"/>
      <c r="E90" s="80"/>
      <c r="F90" s="80"/>
      <c r="G90" s="80"/>
      <c r="H90" s="117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  <c r="AA90" s="80"/>
      <c r="AB90" s="80"/>
      <c r="AC90" s="80"/>
    </row>
    <row r="91" spans="1:29" ht="15.75" hidden="1" customHeight="1" x14ac:dyDescent="0.25">
      <c r="A91" s="80"/>
      <c r="B91" s="80"/>
      <c r="C91" s="80"/>
      <c r="D91" s="80"/>
      <c r="E91" s="80"/>
      <c r="F91" s="80"/>
      <c r="G91" s="80"/>
      <c r="H91" s="117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  <c r="AA91" s="80"/>
      <c r="AB91" s="80"/>
      <c r="AC91" s="80"/>
    </row>
    <row r="92" spans="1:29" ht="15.75" hidden="1" customHeight="1" x14ac:dyDescent="0.25">
      <c r="A92" s="80"/>
      <c r="B92" s="80"/>
      <c r="C92" s="80"/>
      <c r="D92" s="80"/>
      <c r="E92" s="80"/>
      <c r="F92" s="80"/>
      <c r="G92" s="80"/>
      <c r="H92" s="117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</row>
    <row r="93" spans="1:29" ht="15.75" hidden="1" customHeight="1" x14ac:dyDescent="0.25">
      <c r="A93" s="80"/>
      <c r="B93" s="80"/>
      <c r="C93" s="80"/>
      <c r="D93" s="80"/>
      <c r="E93" s="80"/>
      <c r="F93" s="80"/>
      <c r="G93" s="80"/>
      <c r="H93" s="117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80"/>
      <c r="AC93" s="80"/>
    </row>
    <row r="94" spans="1:29" ht="15.75" hidden="1" customHeight="1" x14ac:dyDescent="0.25">
      <c r="A94" s="80"/>
      <c r="B94" s="80"/>
      <c r="C94" s="80"/>
      <c r="D94" s="80"/>
      <c r="E94" s="80"/>
      <c r="F94" s="80"/>
      <c r="G94" s="80"/>
      <c r="H94" s="117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</row>
    <row r="95" spans="1:29" ht="15.75" hidden="1" customHeight="1" x14ac:dyDescent="0.25">
      <c r="A95" s="80"/>
      <c r="B95" s="80"/>
      <c r="C95" s="80"/>
      <c r="D95" s="80"/>
      <c r="E95" s="80"/>
      <c r="F95" s="80"/>
      <c r="G95" s="80"/>
      <c r="H95" s="117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  <c r="AA95" s="80"/>
      <c r="AB95" s="80"/>
      <c r="AC95" s="80"/>
    </row>
    <row r="96" spans="1:29" ht="15.75" hidden="1" customHeight="1" x14ac:dyDescent="0.25">
      <c r="A96" s="80"/>
      <c r="B96" s="80"/>
      <c r="C96" s="80"/>
      <c r="D96" s="80"/>
      <c r="E96" s="80"/>
      <c r="F96" s="80"/>
      <c r="G96" s="80"/>
      <c r="H96" s="117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  <c r="AA96" s="80"/>
      <c r="AB96" s="80"/>
      <c r="AC96" s="80"/>
    </row>
    <row r="97" spans="1:29" ht="15.75" hidden="1" customHeight="1" x14ac:dyDescent="0.25">
      <c r="A97" s="80"/>
      <c r="B97" s="80"/>
      <c r="C97" s="80"/>
      <c r="D97" s="80"/>
      <c r="E97" s="80"/>
      <c r="F97" s="80"/>
      <c r="G97" s="80"/>
      <c r="H97" s="117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0"/>
      <c r="AA97" s="80"/>
      <c r="AB97" s="80"/>
      <c r="AC97" s="80"/>
    </row>
    <row r="98" spans="1:29" ht="15.75" hidden="1" customHeight="1" x14ac:dyDescent="0.25">
      <c r="A98" s="80"/>
      <c r="B98" s="80"/>
      <c r="C98" s="80"/>
      <c r="D98" s="80"/>
      <c r="E98" s="80"/>
      <c r="F98" s="80"/>
      <c r="G98" s="80"/>
      <c r="H98" s="117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80"/>
      <c r="AA98" s="80"/>
      <c r="AB98" s="80"/>
      <c r="AC98" s="80"/>
    </row>
    <row r="99" spans="1:29" ht="15.75" hidden="1" customHeight="1" x14ac:dyDescent="0.25">
      <c r="A99" s="80"/>
      <c r="B99" s="80"/>
      <c r="C99" s="80"/>
      <c r="D99" s="80"/>
      <c r="E99" s="80"/>
      <c r="F99" s="80"/>
      <c r="G99" s="80"/>
      <c r="H99" s="117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0"/>
      <c r="Z99" s="80"/>
      <c r="AA99" s="80"/>
      <c r="AB99" s="80"/>
      <c r="AC99" s="80"/>
    </row>
    <row r="100" spans="1:29" ht="15.75" hidden="1" customHeight="1" x14ac:dyDescent="0.25">
      <c r="A100" s="80"/>
      <c r="B100" s="80"/>
      <c r="C100" s="80"/>
      <c r="D100" s="80"/>
      <c r="E100" s="80"/>
      <c r="F100" s="80"/>
      <c r="G100" s="80"/>
      <c r="H100" s="117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80"/>
      <c r="AA100" s="80"/>
      <c r="AB100" s="80"/>
      <c r="AC100" s="80"/>
    </row>
    <row r="101" spans="1:29" ht="15.75" hidden="1" customHeight="1" x14ac:dyDescent="0.25">
      <c r="A101" s="80"/>
      <c r="B101" s="80"/>
      <c r="C101" s="80"/>
      <c r="D101" s="80"/>
      <c r="E101" s="80"/>
      <c r="F101" s="80"/>
      <c r="G101" s="80"/>
      <c r="H101" s="117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0"/>
      <c r="Z101" s="80"/>
      <c r="AA101" s="80"/>
      <c r="AB101" s="80"/>
      <c r="AC101" s="80"/>
    </row>
    <row r="102" spans="1:29" ht="15.75" hidden="1" customHeight="1" x14ac:dyDescent="0.25">
      <c r="A102" s="80"/>
      <c r="B102" s="80"/>
      <c r="C102" s="80"/>
      <c r="D102" s="80"/>
      <c r="E102" s="80"/>
      <c r="F102" s="80"/>
      <c r="G102" s="80"/>
      <c r="H102" s="117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  <c r="AC102" s="80"/>
    </row>
    <row r="103" spans="1:29" ht="15.75" hidden="1" customHeight="1" x14ac:dyDescent="0.25">
      <c r="A103" s="80"/>
      <c r="B103" s="80"/>
      <c r="C103" s="80"/>
      <c r="D103" s="80"/>
      <c r="E103" s="80"/>
      <c r="F103" s="80"/>
      <c r="G103" s="80"/>
      <c r="H103" s="117"/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  <c r="Z103" s="80"/>
      <c r="AA103" s="80"/>
      <c r="AB103" s="80"/>
      <c r="AC103" s="80"/>
    </row>
    <row r="104" spans="1:29" ht="15.75" hidden="1" customHeight="1" x14ac:dyDescent="0.25">
      <c r="A104" s="80"/>
      <c r="B104" s="80"/>
      <c r="C104" s="80"/>
      <c r="D104" s="80"/>
      <c r="E104" s="80"/>
      <c r="F104" s="80"/>
      <c r="G104" s="80"/>
      <c r="H104" s="117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  <c r="AA104" s="80"/>
      <c r="AB104" s="80"/>
      <c r="AC104" s="80"/>
    </row>
    <row r="105" spans="1:29" ht="15.75" hidden="1" customHeight="1" x14ac:dyDescent="0.25">
      <c r="A105" s="80"/>
      <c r="B105" s="80"/>
      <c r="C105" s="80"/>
      <c r="D105" s="80"/>
      <c r="E105" s="80"/>
      <c r="F105" s="80"/>
      <c r="G105" s="80"/>
      <c r="H105" s="117"/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80"/>
      <c r="U105" s="80"/>
      <c r="V105" s="80"/>
      <c r="W105" s="80"/>
      <c r="X105" s="80"/>
      <c r="Y105" s="80"/>
      <c r="Z105" s="80"/>
      <c r="AA105" s="80"/>
      <c r="AB105" s="80"/>
      <c r="AC105" s="80"/>
    </row>
    <row r="106" spans="1:29" ht="15.75" hidden="1" customHeight="1" x14ac:dyDescent="0.25">
      <c r="A106" s="80"/>
      <c r="B106" s="80"/>
      <c r="C106" s="80"/>
      <c r="D106" s="80"/>
      <c r="E106" s="80"/>
      <c r="F106" s="80"/>
      <c r="G106" s="80"/>
      <c r="H106" s="117"/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T106" s="80"/>
      <c r="U106" s="80"/>
      <c r="V106" s="80"/>
      <c r="W106" s="80"/>
      <c r="X106" s="80"/>
      <c r="Y106" s="80"/>
      <c r="Z106" s="80"/>
      <c r="AA106" s="80"/>
      <c r="AB106" s="80"/>
      <c r="AC106" s="80"/>
    </row>
    <row r="107" spans="1:29" ht="15.75" hidden="1" customHeight="1" x14ac:dyDescent="0.25">
      <c r="A107" s="80"/>
      <c r="B107" s="80"/>
      <c r="C107" s="80"/>
      <c r="D107" s="80"/>
      <c r="E107" s="80"/>
      <c r="F107" s="80"/>
      <c r="G107" s="80"/>
      <c r="H107" s="117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80"/>
      <c r="AA107" s="80"/>
      <c r="AB107" s="80"/>
      <c r="AC107" s="80"/>
    </row>
    <row r="108" spans="1:29" ht="15.75" hidden="1" customHeight="1" x14ac:dyDescent="0.25">
      <c r="A108" s="80"/>
      <c r="B108" s="80"/>
      <c r="C108" s="80"/>
      <c r="D108" s="80"/>
      <c r="E108" s="80"/>
      <c r="F108" s="80"/>
      <c r="G108" s="80"/>
      <c r="H108" s="117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  <c r="AA108" s="80"/>
      <c r="AB108" s="80"/>
      <c r="AC108" s="80"/>
    </row>
    <row r="109" spans="1:29" ht="15.75" hidden="1" customHeight="1" x14ac:dyDescent="0.25">
      <c r="A109" s="80"/>
      <c r="B109" s="80"/>
      <c r="C109" s="80"/>
      <c r="D109" s="80"/>
      <c r="E109" s="80"/>
      <c r="F109" s="80"/>
      <c r="G109" s="80"/>
      <c r="H109" s="117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  <c r="W109" s="80"/>
      <c r="X109" s="80"/>
      <c r="Y109" s="80"/>
      <c r="Z109" s="80"/>
      <c r="AA109" s="80"/>
      <c r="AB109" s="80"/>
      <c r="AC109" s="80"/>
    </row>
    <row r="110" spans="1:29" ht="15.75" hidden="1" customHeight="1" x14ac:dyDescent="0.25">
      <c r="A110" s="80"/>
      <c r="B110" s="80"/>
      <c r="C110" s="80"/>
      <c r="D110" s="80"/>
      <c r="E110" s="80"/>
      <c r="F110" s="80"/>
      <c r="G110" s="80"/>
      <c r="H110" s="117"/>
      <c r="I110" s="80"/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T110" s="80"/>
      <c r="U110" s="80"/>
      <c r="V110" s="80"/>
      <c r="W110" s="80"/>
      <c r="X110" s="80"/>
      <c r="Y110" s="80"/>
      <c r="Z110" s="80"/>
      <c r="AA110" s="80"/>
      <c r="AB110" s="80"/>
      <c r="AC110" s="80"/>
    </row>
    <row r="111" spans="1:29" ht="15.75" hidden="1" customHeight="1" x14ac:dyDescent="0.25">
      <c r="A111" s="80"/>
      <c r="B111" s="80"/>
      <c r="C111" s="80"/>
      <c r="D111" s="80"/>
      <c r="E111" s="80"/>
      <c r="F111" s="80"/>
      <c r="G111" s="80"/>
      <c r="H111" s="117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T111" s="80"/>
      <c r="U111" s="80"/>
      <c r="V111" s="80"/>
      <c r="W111" s="80"/>
      <c r="X111" s="80"/>
      <c r="Y111" s="80"/>
      <c r="Z111" s="80"/>
      <c r="AA111" s="80"/>
      <c r="AB111" s="80"/>
      <c r="AC111" s="80"/>
    </row>
    <row r="112" spans="1:29" ht="15.75" hidden="1" customHeight="1" x14ac:dyDescent="0.25">
      <c r="A112" s="80"/>
      <c r="B112" s="80"/>
      <c r="C112" s="80"/>
      <c r="D112" s="80"/>
      <c r="E112" s="80"/>
      <c r="F112" s="80"/>
      <c r="G112" s="80"/>
      <c r="H112" s="117"/>
      <c r="I112" s="80"/>
      <c r="J112" s="80"/>
      <c r="K112" s="80"/>
      <c r="L112" s="80"/>
      <c r="M112" s="80"/>
      <c r="N112" s="80"/>
      <c r="O112" s="80"/>
      <c r="P112" s="80"/>
      <c r="Q112" s="80"/>
      <c r="R112" s="80"/>
      <c r="S112" s="80"/>
      <c r="T112" s="80"/>
      <c r="U112" s="80"/>
      <c r="V112" s="80"/>
      <c r="W112" s="80"/>
      <c r="X112" s="80"/>
      <c r="Y112" s="80"/>
      <c r="Z112" s="80"/>
      <c r="AA112" s="80"/>
      <c r="AB112" s="80"/>
      <c r="AC112" s="80"/>
    </row>
    <row r="113" spans="1:29" ht="15.75" hidden="1" customHeight="1" x14ac:dyDescent="0.25">
      <c r="A113" s="80"/>
      <c r="B113" s="80"/>
      <c r="C113" s="80"/>
      <c r="D113" s="80"/>
      <c r="E113" s="80"/>
      <c r="F113" s="80"/>
      <c r="G113" s="80"/>
      <c r="H113" s="117"/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80"/>
      <c r="T113" s="80"/>
      <c r="U113" s="80"/>
      <c r="V113" s="80"/>
      <c r="W113" s="80"/>
      <c r="X113" s="80"/>
      <c r="Y113" s="80"/>
      <c r="Z113" s="80"/>
      <c r="AA113" s="80"/>
      <c r="AB113" s="80"/>
      <c r="AC113" s="80"/>
    </row>
    <row r="114" spans="1:29" ht="15.75" hidden="1" customHeight="1" x14ac:dyDescent="0.25">
      <c r="A114" s="80"/>
      <c r="B114" s="80"/>
      <c r="C114" s="80"/>
      <c r="D114" s="80"/>
      <c r="E114" s="80"/>
      <c r="F114" s="80"/>
      <c r="G114" s="80"/>
      <c r="H114" s="117"/>
      <c r="I114" s="80"/>
      <c r="J114" s="80"/>
      <c r="K114" s="80"/>
      <c r="L114" s="80"/>
      <c r="M114" s="80"/>
      <c r="N114" s="80"/>
      <c r="O114" s="80"/>
      <c r="P114" s="80"/>
      <c r="Q114" s="80"/>
      <c r="R114" s="80"/>
      <c r="S114" s="80"/>
      <c r="T114" s="80"/>
      <c r="U114" s="80"/>
      <c r="V114" s="80"/>
      <c r="W114" s="80"/>
      <c r="X114" s="80"/>
      <c r="Y114" s="80"/>
      <c r="Z114" s="80"/>
      <c r="AA114" s="80"/>
      <c r="AB114" s="80"/>
      <c r="AC114" s="80"/>
    </row>
    <row r="115" spans="1:29" ht="15.75" hidden="1" customHeight="1" x14ac:dyDescent="0.25">
      <c r="A115" s="80"/>
      <c r="B115" s="80"/>
      <c r="C115" s="80"/>
      <c r="D115" s="80"/>
      <c r="E115" s="80"/>
      <c r="F115" s="80"/>
      <c r="G115" s="80"/>
      <c r="H115" s="117"/>
      <c r="I115" s="80"/>
      <c r="J115" s="80"/>
      <c r="K115" s="80"/>
      <c r="L115" s="80"/>
      <c r="M115" s="80"/>
      <c r="N115" s="80"/>
      <c r="O115" s="80"/>
      <c r="P115" s="80"/>
      <c r="Q115" s="80"/>
      <c r="R115" s="80"/>
      <c r="S115" s="80"/>
      <c r="T115" s="80"/>
      <c r="U115" s="80"/>
      <c r="V115" s="80"/>
      <c r="W115" s="80"/>
      <c r="X115" s="80"/>
      <c r="Y115" s="80"/>
      <c r="Z115" s="80"/>
      <c r="AA115" s="80"/>
      <c r="AB115" s="80"/>
      <c r="AC115" s="80"/>
    </row>
    <row r="116" spans="1:29" ht="15.75" hidden="1" customHeight="1" x14ac:dyDescent="0.25">
      <c r="A116" s="80"/>
      <c r="B116" s="80"/>
      <c r="C116" s="80"/>
      <c r="D116" s="80"/>
      <c r="E116" s="80"/>
      <c r="F116" s="80"/>
      <c r="G116" s="80"/>
      <c r="H116" s="117"/>
      <c r="I116" s="80"/>
      <c r="J116" s="80"/>
      <c r="K116" s="80"/>
      <c r="L116" s="80"/>
      <c r="M116" s="80"/>
      <c r="N116" s="80"/>
      <c r="O116" s="80"/>
      <c r="P116" s="80"/>
      <c r="Q116" s="80"/>
      <c r="R116" s="80"/>
      <c r="S116" s="80"/>
      <c r="T116" s="80"/>
      <c r="U116" s="80"/>
      <c r="V116" s="80"/>
      <c r="W116" s="80"/>
      <c r="X116" s="80"/>
      <c r="Y116" s="80"/>
      <c r="Z116" s="80"/>
      <c r="AA116" s="80"/>
      <c r="AB116" s="80"/>
      <c r="AC116" s="80"/>
    </row>
    <row r="117" spans="1:29" ht="15.75" hidden="1" customHeight="1" x14ac:dyDescent="0.25">
      <c r="A117" s="80"/>
      <c r="B117" s="80"/>
      <c r="C117" s="80"/>
      <c r="D117" s="80"/>
      <c r="E117" s="80"/>
      <c r="F117" s="80"/>
      <c r="G117" s="80"/>
      <c r="H117" s="117"/>
      <c r="I117" s="80"/>
      <c r="J117" s="80"/>
      <c r="K117" s="80"/>
      <c r="L117" s="80"/>
      <c r="M117" s="80"/>
      <c r="N117" s="80"/>
      <c r="O117" s="80"/>
      <c r="P117" s="80"/>
      <c r="Q117" s="80"/>
      <c r="R117" s="80"/>
      <c r="S117" s="80"/>
      <c r="T117" s="80"/>
      <c r="U117" s="80"/>
      <c r="V117" s="80"/>
      <c r="W117" s="80"/>
      <c r="X117" s="80"/>
      <c r="Y117" s="80"/>
      <c r="Z117" s="80"/>
      <c r="AA117" s="80"/>
      <c r="AB117" s="80"/>
      <c r="AC117" s="80"/>
    </row>
    <row r="118" spans="1:29" ht="15.75" hidden="1" customHeight="1" x14ac:dyDescent="0.25">
      <c r="A118" s="80"/>
      <c r="B118" s="80"/>
      <c r="C118" s="80"/>
      <c r="D118" s="80"/>
      <c r="E118" s="80"/>
      <c r="F118" s="80"/>
      <c r="G118" s="80"/>
      <c r="H118" s="117"/>
      <c r="I118" s="80"/>
      <c r="J118" s="80"/>
      <c r="K118" s="80"/>
      <c r="L118" s="80"/>
      <c r="M118" s="80"/>
      <c r="N118" s="80"/>
      <c r="O118" s="80"/>
      <c r="P118" s="80"/>
      <c r="Q118" s="80"/>
      <c r="R118" s="80"/>
      <c r="S118" s="80"/>
      <c r="T118" s="80"/>
      <c r="U118" s="80"/>
      <c r="V118" s="80"/>
      <c r="W118" s="80"/>
      <c r="X118" s="80"/>
      <c r="Y118" s="80"/>
      <c r="Z118" s="80"/>
      <c r="AA118" s="80"/>
      <c r="AB118" s="80"/>
      <c r="AC118" s="80"/>
    </row>
    <row r="119" spans="1:29" ht="15.75" hidden="1" customHeight="1" x14ac:dyDescent="0.25">
      <c r="A119" s="80"/>
      <c r="B119" s="80"/>
      <c r="C119" s="80"/>
      <c r="D119" s="80"/>
      <c r="E119" s="80"/>
      <c r="F119" s="80"/>
      <c r="G119" s="80"/>
      <c r="H119" s="117"/>
      <c r="I119" s="80"/>
      <c r="J119" s="80"/>
      <c r="K119" s="80"/>
      <c r="L119" s="80"/>
      <c r="M119" s="80"/>
      <c r="N119" s="80"/>
      <c r="O119" s="80"/>
      <c r="P119" s="80"/>
      <c r="Q119" s="80"/>
      <c r="R119" s="80"/>
      <c r="S119" s="80"/>
      <c r="T119" s="80"/>
      <c r="U119" s="80"/>
      <c r="V119" s="80"/>
      <c r="W119" s="80"/>
      <c r="X119" s="80"/>
      <c r="Y119" s="80"/>
      <c r="Z119" s="80"/>
      <c r="AA119" s="80"/>
      <c r="AB119" s="80"/>
      <c r="AC119" s="80"/>
    </row>
    <row r="120" spans="1:29" ht="15.75" hidden="1" customHeight="1" x14ac:dyDescent="0.25">
      <c r="A120" s="80"/>
      <c r="B120" s="80"/>
      <c r="C120" s="80"/>
      <c r="D120" s="80"/>
      <c r="E120" s="80"/>
      <c r="F120" s="80"/>
      <c r="G120" s="80"/>
      <c r="H120" s="117"/>
      <c r="I120" s="80"/>
      <c r="J120" s="80"/>
      <c r="K120" s="80"/>
      <c r="L120" s="80"/>
      <c r="M120" s="80"/>
      <c r="N120" s="80"/>
      <c r="O120" s="80"/>
      <c r="P120" s="80"/>
      <c r="Q120" s="80"/>
      <c r="R120" s="80"/>
      <c r="S120" s="80"/>
      <c r="T120" s="80"/>
      <c r="U120" s="80"/>
      <c r="V120" s="80"/>
      <c r="W120" s="80"/>
      <c r="X120" s="80"/>
      <c r="Y120" s="80"/>
      <c r="Z120" s="80"/>
      <c r="AA120" s="80"/>
      <c r="AB120" s="80"/>
      <c r="AC120" s="80"/>
    </row>
    <row r="121" spans="1:29" ht="15.75" hidden="1" customHeight="1" x14ac:dyDescent="0.25">
      <c r="A121" s="80"/>
      <c r="B121" s="80"/>
      <c r="C121" s="80"/>
      <c r="D121" s="80"/>
      <c r="E121" s="80"/>
      <c r="F121" s="80"/>
      <c r="G121" s="80"/>
      <c r="H121" s="117"/>
      <c r="I121" s="80"/>
      <c r="J121" s="80"/>
      <c r="K121" s="80"/>
      <c r="L121" s="80"/>
      <c r="M121" s="80"/>
      <c r="N121" s="80"/>
      <c r="O121" s="80"/>
      <c r="P121" s="80"/>
      <c r="Q121" s="80"/>
      <c r="R121" s="80"/>
      <c r="S121" s="80"/>
      <c r="T121" s="80"/>
      <c r="U121" s="80"/>
      <c r="V121" s="80"/>
      <c r="W121" s="80"/>
      <c r="X121" s="80"/>
      <c r="Y121" s="80"/>
      <c r="Z121" s="80"/>
      <c r="AA121" s="80"/>
      <c r="AB121" s="80"/>
      <c r="AC121" s="80"/>
    </row>
    <row r="122" spans="1:29" ht="15.75" hidden="1" customHeight="1" x14ac:dyDescent="0.25">
      <c r="A122" s="80"/>
      <c r="B122" s="80"/>
      <c r="C122" s="80"/>
      <c r="D122" s="80"/>
      <c r="E122" s="80"/>
      <c r="F122" s="80"/>
      <c r="G122" s="80"/>
      <c r="H122" s="117"/>
      <c r="I122" s="80"/>
      <c r="J122" s="80"/>
      <c r="K122" s="80"/>
      <c r="L122" s="80"/>
      <c r="M122" s="80"/>
      <c r="N122" s="80"/>
      <c r="O122" s="80"/>
      <c r="P122" s="80"/>
      <c r="Q122" s="80"/>
      <c r="R122" s="80"/>
      <c r="S122" s="80"/>
      <c r="T122" s="80"/>
      <c r="U122" s="80"/>
      <c r="V122" s="80"/>
      <c r="W122" s="80"/>
      <c r="X122" s="80"/>
      <c r="Y122" s="80"/>
      <c r="Z122" s="80"/>
      <c r="AA122" s="80"/>
      <c r="AB122" s="80"/>
      <c r="AC122" s="80"/>
    </row>
    <row r="123" spans="1:29" ht="15.75" hidden="1" customHeight="1" x14ac:dyDescent="0.25">
      <c r="A123" s="80"/>
      <c r="B123" s="80"/>
      <c r="C123" s="80"/>
      <c r="D123" s="80"/>
      <c r="E123" s="80"/>
      <c r="F123" s="80"/>
      <c r="G123" s="80"/>
      <c r="H123" s="117"/>
      <c r="I123" s="80"/>
      <c r="J123" s="80"/>
      <c r="K123" s="80"/>
      <c r="L123" s="80"/>
      <c r="M123" s="80"/>
      <c r="N123" s="80"/>
      <c r="O123" s="80"/>
      <c r="P123" s="80"/>
      <c r="Q123" s="80"/>
      <c r="R123" s="80"/>
      <c r="S123" s="80"/>
      <c r="T123" s="80"/>
      <c r="U123" s="80"/>
      <c r="V123" s="80"/>
      <c r="W123" s="80"/>
      <c r="X123" s="80"/>
      <c r="Y123" s="80"/>
      <c r="Z123" s="80"/>
      <c r="AA123" s="80"/>
      <c r="AB123" s="80"/>
      <c r="AC123" s="80"/>
    </row>
    <row r="124" spans="1:29" ht="15.75" hidden="1" customHeight="1" x14ac:dyDescent="0.25">
      <c r="A124" s="80"/>
      <c r="B124" s="80"/>
      <c r="C124" s="80"/>
      <c r="D124" s="80"/>
      <c r="E124" s="80"/>
      <c r="F124" s="80"/>
      <c r="G124" s="80"/>
      <c r="H124" s="117"/>
      <c r="I124" s="80"/>
      <c r="J124" s="80"/>
      <c r="K124" s="80"/>
      <c r="L124" s="80"/>
      <c r="M124" s="80"/>
      <c r="N124" s="80"/>
      <c r="O124" s="80"/>
      <c r="P124" s="80"/>
      <c r="Q124" s="80"/>
      <c r="R124" s="80"/>
      <c r="S124" s="80"/>
      <c r="T124" s="80"/>
      <c r="U124" s="80"/>
      <c r="V124" s="80"/>
      <c r="W124" s="80"/>
      <c r="X124" s="80"/>
      <c r="Y124" s="80"/>
      <c r="Z124" s="80"/>
      <c r="AA124" s="80"/>
      <c r="AB124" s="80"/>
      <c r="AC124" s="80"/>
    </row>
    <row r="125" spans="1:29" ht="15.75" hidden="1" customHeight="1" x14ac:dyDescent="0.25">
      <c r="A125" s="80"/>
      <c r="B125" s="80"/>
      <c r="C125" s="80"/>
      <c r="D125" s="80"/>
      <c r="E125" s="80"/>
      <c r="F125" s="80"/>
      <c r="G125" s="80"/>
      <c r="H125" s="117"/>
      <c r="I125" s="80"/>
      <c r="J125" s="80"/>
      <c r="K125" s="80"/>
      <c r="L125" s="80"/>
      <c r="M125" s="80"/>
      <c r="N125" s="80"/>
      <c r="O125" s="80"/>
      <c r="P125" s="80"/>
      <c r="Q125" s="80"/>
      <c r="R125" s="80"/>
      <c r="S125" s="80"/>
      <c r="T125" s="80"/>
      <c r="U125" s="80"/>
      <c r="V125" s="80"/>
      <c r="W125" s="80"/>
      <c r="X125" s="80"/>
      <c r="Y125" s="80"/>
      <c r="Z125" s="80"/>
      <c r="AA125" s="80"/>
      <c r="AB125" s="80"/>
      <c r="AC125" s="80"/>
    </row>
    <row r="126" spans="1:29" ht="15.75" hidden="1" customHeight="1" x14ac:dyDescent="0.25">
      <c r="A126" s="80"/>
      <c r="B126" s="80"/>
      <c r="C126" s="80"/>
      <c r="D126" s="80"/>
      <c r="E126" s="80"/>
      <c r="F126" s="80"/>
      <c r="G126" s="80"/>
      <c r="H126" s="117"/>
      <c r="I126" s="80"/>
      <c r="J126" s="80"/>
      <c r="K126" s="80"/>
      <c r="L126" s="80"/>
      <c r="M126" s="80"/>
      <c r="N126" s="80"/>
      <c r="O126" s="80"/>
      <c r="P126" s="80"/>
      <c r="Q126" s="80"/>
      <c r="R126" s="80"/>
      <c r="S126" s="80"/>
      <c r="T126" s="80"/>
      <c r="U126" s="80"/>
      <c r="V126" s="80"/>
      <c r="W126" s="80"/>
      <c r="X126" s="80"/>
      <c r="Y126" s="80"/>
      <c r="Z126" s="80"/>
      <c r="AA126" s="80"/>
      <c r="AB126" s="80"/>
      <c r="AC126" s="80"/>
    </row>
    <row r="127" spans="1:29" ht="15.75" hidden="1" customHeight="1" x14ac:dyDescent="0.25">
      <c r="A127" s="80"/>
      <c r="B127" s="80"/>
      <c r="C127" s="80"/>
      <c r="D127" s="80"/>
      <c r="E127" s="80"/>
      <c r="F127" s="80"/>
      <c r="G127" s="80"/>
      <c r="H127" s="117"/>
      <c r="I127" s="80"/>
      <c r="J127" s="80"/>
      <c r="K127" s="80"/>
      <c r="L127" s="80"/>
      <c r="M127" s="80"/>
      <c r="N127" s="80"/>
      <c r="O127" s="80"/>
      <c r="P127" s="80"/>
      <c r="Q127" s="80"/>
      <c r="R127" s="80"/>
      <c r="S127" s="80"/>
      <c r="T127" s="80"/>
      <c r="U127" s="80"/>
      <c r="V127" s="80"/>
      <c r="W127" s="80"/>
      <c r="X127" s="80"/>
      <c r="Y127" s="80"/>
      <c r="Z127" s="80"/>
      <c r="AA127" s="80"/>
      <c r="AB127" s="80"/>
      <c r="AC127" s="80"/>
    </row>
    <row r="128" spans="1:29" ht="15.75" hidden="1" customHeight="1" x14ac:dyDescent="0.25">
      <c r="A128" s="80"/>
      <c r="B128" s="80"/>
      <c r="C128" s="80"/>
      <c r="D128" s="80"/>
      <c r="E128" s="80"/>
      <c r="F128" s="80"/>
      <c r="G128" s="80"/>
      <c r="H128" s="117"/>
      <c r="I128" s="80"/>
      <c r="J128" s="80"/>
      <c r="K128" s="80"/>
      <c r="L128" s="80"/>
      <c r="M128" s="80"/>
      <c r="N128" s="80"/>
      <c r="O128" s="80"/>
      <c r="P128" s="80"/>
      <c r="Q128" s="80"/>
      <c r="R128" s="80"/>
      <c r="S128" s="80"/>
      <c r="T128" s="80"/>
      <c r="U128" s="80"/>
      <c r="V128" s="80"/>
      <c r="W128" s="80"/>
      <c r="X128" s="80"/>
      <c r="Y128" s="80"/>
      <c r="Z128" s="80"/>
      <c r="AA128" s="80"/>
      <c r="AB128" s="80"/>
      <c r="AC128" s="80"/>
    </row>
    <row r="129" spans="1:29" ht="15.75" hidden="1" customHeight="1" x14ac:dyDescent="0.25">
      <c r="A129" s="80"/>
      <c r="B129" s="80"/>
      <c r="C129" s="80"/>
      <c r="D129" s="80"/>
      <c r="E129" s="80"/>
      <c r="F129" s="80"/>
      <c r="G129" s="80"/>
      <c r="H129" s="117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80"/>
      <c r="U129" s="80"/>
      <c r="V129" s="80"/>
      <c r="W129" s="80"/>
      <c r="X129" s="80"/>
      <c r="Y129" s="80"/>
      <c r="Z129" s="80"/>
      <c r="AA129" s="80"/>
      <c r="AB129" s="80"/>
      <c r="AC129" s="80"/>
    </row>
    <row r="130" spans="1:29" ht="15.75" hidden="1" customHeight="1" x14ac:dyDescent="0.25">
      <c r="A130" s="80"/>
      <c r="B130" s="80"/>
      <c r="C130" s="80"/>
      <c r="D130" s="80"/>
      <c r="E130" s="80"/>
      <c r="F130" s="80"/>
      <c r="G130" s="80"/>
      <c r="H130" s="117"/>
      <c r="I130" s="80"/>
      <c r="J130" s="80"/>
      <c r="K130" s="80"/>
      <c r="L130" s="80"/>
      <c r="M130" s="80"/>
      <c r="N130" s="80"/>
      <c r="O130" s="80"/>
      <c r="P130" s="80"/>
      <c r="Q130" s="80"/>
      <c r="R130" s="80"/>
      <c r="S130" s="80"/>
      <c r="T130" s="80"/>
      <c r="U130" s="80"/>
      <c r="V130" s="80"/>
      <c r="W130" s="80"/>
      <c r="X130" s="80"/>
      <c r="Y130" s="80"/>
      <c r="Z130" s="80"/>
      <c r="AA130" s="80"/>
      <c r="AB130" s="80"/>
      <c r="AC130" s="80"/>
    </row>
    <row r="131" spans="1:29" ht="15.75" hidden="1" customHeight="1" x14ac:dyDescent="0.25">
      <c r="A131" s="80"/>
      <c r="B131" s="80"/>
      <c r="C131" s="80"/>
      <c r="D131" s="80"/>
      <c r="E131" s="80"/>
      <c r="F131" s="80"/>
      <c r="G131" s="80"/>
      <c r="H131" s="117"/>
      <c r="I131" s="80"/>
      <c r="J131" s="80"/>
      <c r="K131" s="80"/>
      <c r="L131" s="80"/>
      <c r="M131" s="80"/>
      <c r="N131" s="80"/>
      <c r="O131" s="80"/>
      <c r="P131" s="80"/>
      <c r="Q131" s="80"/>
      <c r="R131" s="80"/>
      <c r="S131" s="80"/>
      <c r="T131" s="80"/>
      <c r="U131" s="80"/>
      <c r="V131" s="80"/>
      <c r="W131" s="80"/>
      <c r="X131" s="80"/>
      <c r="Y131" s="80"/>
      <c r="Z131" s="80"/>
      <c r="AA131" s="80"/>
      <c r="AB131" s="80"/>
      <c r="AC131" s="80"/>
    </row>
    <row r="132" spans="1:29" ht="15.75" hidden="1" customHeight="1" x14ac:dyDescent="0.25">
      <c r="A132" s="80"/>
      <c r="B132" s="80"/>
      <c r="C132" s="80"/>
      <c r="D132" s="80"/>
      <c r="E132" s="80"/>
      <c r="F132" s="80"/>
      <c r="G132" s="80"/>
      <c r="H132" s="117"/>
      <c r="I132" s="80"/>
      <c r="J132" s="80"/>
      <c r="K132" s="80"/>
      <c r="L132" s="80"/>
      <c r="M132" s="80"/>
      <c r="N132" s="80"/>
      <c r="O132" s="80"/>
      <c r="P132" s="80"/>
      <c r="Q132" s="80"/>
      <c r="R132" s="80"/>
      <c r="S132" s="80"/>
      <c r="T132" s="80"/>
      <c r="U132" s="80"/>
      <c r="V132" s="80"/>
      <c r="W132" s="80"/>
      <c r="X132" s="80"/>
      <c r="Y132" s="80"/>
      <c r="Z132" s="80"/>
      <c r="AA132" s="80"/>
      <c r="AB132" s="80"/>
      <c r="AC132" s="80"/>
    </row>
    <row r="133" spans="1:29" ht="15.75" hidden="1" customHeight="1" x14ac:dyDescent="0.25">
      <c r="A133" s="80"/>
      <c r="B133" s="80"/>
      <c r="C133" s="80"/>
      <c r="D133" s="80"/>
      <c r="E133" s="80"/>
      <c r="F133" s="80"/>
      <c r="G133" s="80"/>
      <c r="H133" s="117"/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80"/>
      <c r="T133" s="80"/>
      <c r="U133" s="80"/>
      <c r="V133" s="80"/>
      <c r="W133" s="80"/>
      <c r="X133" s="80"/>
      <c r="Y133" s="80"/>
      <c r="Z133" s="80"/>
      <c r="AA133" s="80"/>
      <c r="AB133" s="80"/>
      <c r="AC133" s="80"/>
    </row>
    <row r="134" spans="1:29" ht="15.75" hidden="1" customHeight="1" x14ac:dyDescent="0.25">
      <c r="A134" s="80"/>
      <c r="B134" s="80"/>
      <c r="C134" s="80"/>
      <c r="D134" s="80"/>
      <c r="E134" s="80"/>
      <c r="F134" s="80"/>
      <c r="G134" s="80"/>
      <c r="H134" s="117"/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80"/>
      <c r="T134" s="80"/>
      <c r="U134" s="80"/>
      <c r="V134" s="80"/>
      <c r="W134" s="80"/>
      <c r="X134" s="80"/>
      <c r="Y134" s="80"/>
      <c r="Z134" s="80"/>
      <c r="AA134" s="80"/>
      <c r="AB134" s="80"/>
      <c r="AC134" s="80"/>
    </row>
    <row r="135" spans="1:29" ht="15.75" hidden="1" customHeight="1" x14ac:dyDescent="0.25">
      <c r="A135" s="80"/>
      <c r="B135" s="80"/>
      <c r="C135" s="80"/>
      <c r="D135" s="80"/>
      <c r="E135" s="80"/>
      <c r="F135" s="80"/>
      <c r="G135" s="80"/>
      <c r="H135" s="117"/>
      <c r="I135" s="80"/>
      <c r="J135" s="80"/>
      <c r="K135" s="80"/>
      <c r="L135" s="80"/>
      <c r="M135" s="80"/>
      <c r="N135" s="80"/>
      <c r="O135" s="80"/>
      <c r="P135" s="80"/>
      <c r="Q135" s="80"/>
      <c r="R135" s="80"/>
      <c r="S135" s="80"/>
      <c r="T135" s="80"/>
      <c r="U135" s="80"/>
      <c r="V135" s="80"/>
      <c r="W135" s="80"/>
      <c r="X135" s="80"/>
      <c r="Y135" s="80"/>
      <c r="Z135" s="80"/>
      <c r="AA135" s="80"/>
      <c r="AB135" s="80"/>
      <c r="AC135" s="80"/>
    </row>
    <row r="136" spans="1:29" ht="15.75" hidden="1" customHeight="1" x14ac:dyDescent="0.25">
      <c r="A136" s="80"/>
      <c r="B136" s="80"/>
      <c r="C136" s="80"/>
      <c r="D136" s="80"/>
      <c r="E136" s="80"/>
      <c r="F136" s="80"/>
      <c r="G136" s="80"/>
      <c r="H136" s="117"/>
      <c r="I136" s="80"/>
      <c r="J136" s="80"/>
      <c r="K136" s="80"/>
      <c r="L136" s="80"/>
      <c r="M136" s="80"/>
      <c r="N136" s="80"/>
      <c r="O136" s="80"/>
      <c r="P136" s="80"/>
      <c r="Q136" s="80"/>
      <c r="R136" s="80"/>
      <c r="S136" s="80"/>
      <c r="T136" s="80"/>
      <c r="U136" s="80"/>
      <c r="V136" s="80"/>
      <c r="W136" s="80"/>
      <c r="X136" s="80"/>
      <c r="Y136" s="80"/>
      <c r="Z136" s="80"/>
      <c r="AA136" s="80"/>
      <c r="AB136" s="80"/>
      <c r="AC136" s="80"/>
    </row>
    <row r="137" spans="1:29" ht="15.75" hidden="1" customHeight="1" x14ac:dyDescent="0.25">
      <c r="A137" s="80"/>
      <c r="B137" s="80"/>
      <c r="C137" s="80"/>
      <c r="D137" s="80"/>
      <c r="E137" s="80"/>
      <c r="F137" s="80"/>
      <c r="G137" s="80"/>
      <c r="H137" s="117"/>
      <c r="I137" s="80"/>
      <c r="J137" s="80"/>
      <c r="K137" s="80"/>
      <c r="L137" s="80"/>
      <c r="M137" s="80"/>
      <c r="N137" s="80"/>
      <c r="O137" s="80"/>
      <c r="P137" s="80"/>
      <c r="Q137" s="80"/>
      <c r="R137" s="80"/>
      <c r="S137" s="80"/>
      <c r="T137" s="80"/>
      <c r="U137" s="80"/>
      <c r="V137" s="80"/>
      <c r="W137" s="80"/>
      <c r="X137" s="80"/>
      <c r="Y137" s="80"/>
      <c r="Z137" s="80"/>
      <c r="AA137" s="80"/>
      <c r="AB137" s="80"/>
      <c r="AC137" s="80"/>
    </row>
    <row r="138" spans="1:29" ht="15.75" hidden="1" customHeight="1" x14ac:dyDescent="0.25">
      <c r="A138" s="80"/>
      <c r="B138" s="80"/>
      <c r="C138" s="80"/>
      <c r="D138" s="80"/>
      <c r="E138" s="80"/>
      <c r="F138" s="80"/>
      <c r="G138" s="80"/>
      <c r="H138" s="117"/>
      <c r="I138" s="80"/>
      <c r="J138" s="80"/>
      <c r="K138" s="80"/>
      <c r="L138" s="80"/>
      <c r="M138" s="80"/>
      <c r="N138" s="80"/>
      <c r="O138" s="80"/>
      <c r="P138" s="80"/>
      <c r="Q138" s="80"/>
      <c r="R138" s="80"/>
      <c r="S138" s="80"/>
      <c r="T138" s="80"/>
      <c r="U138" s="80"/>
      <c r="V138" s="80"/>
      <c r="W138" s="80"/>
      <c r="X138" s="80"/>
      <c r="Y138" s="80"/>
      <c r="Z138" s="80"/>
      <c r="AA138" s="80"/>
      <c r="AB138" s="80"/>
      <c r="AC138" s="80"/>
    </row>
    <row r="139" spans="1:29" ht="15.75" hidden="1" customHeight="1" x14ac:dyDescent="0.25">
      <c r="A139" s="80"/>
      <c r="B139" s="80"/>
      <c r="C139" s="80"/>
      <c r="D139" s="80"/>
      <c r="E139" s="80"/>
      <c r="F139" s="80"/>
      <c r="G139" s="80"/>
      <c r="H139" s="117"/>
      <c r="I139" s="80"/>
      <c r="J139" s="80"/>
      <c r="K139" s="80"/>
      <c r="L139" s="80"/>
      <c r="M139" s="80"/>
      <c r="N139" s="80"/>
      <c r="O139" s="80"/>
      <c r="P139" s="80"/>
      <c r="Q139" s="80"/>
      <c r="R139" s="80"/>
      <c r="S139" s="80"/>
      <c r="T139" s="80"/>
      <c r="U139" s="80"/>
      <c r="V139" s="80"/>
      <c r="W139" s="80"/>
      <c r="X139" s="80"/>
      <c r="Y139" s="80"/>
      <c r="Z139" s="80"/>
      <c r="AA139" s="80"/>
      <c r="AB139" s="80"/>
      <c r="AC139" s="80"/>
    </row>
    <row r="140" spans="1:29" ht="15.75" hidden="1" customHeight="1" x14ac:dyDescent="0.25">
      <c r="A140" s="80"/>
      <c r="B140" s="80"/>
      <c r="C140" s="80"/>
      <c r="D140" s="80"/>
      <c r="E140" s="80"/>
      <c r="F140" s="80"/>
      <c r="G140" s="80"/>
      <c r="H140" s="117"/>
      <c r="I140" s="80"/>
      <c r="J140" s="80"/>
      <c r="K140" s="80"/>
      <c r="L140" s="80"/>
      <c r="M140" s="80"/>
      <c r="N140" s="80"/>
      <c r="O140" s="80"/>
      <c r="P140" s="80"/>
      <c r="Q140" s="80"/>
      <c r="R140" s="80"/>
      <c r="S140" s="80"/>
      <c r="T140" s="80"/>
      <c r="U140" s="80"/>
      <c r="V140" s="80"/>
      <c r="W140" s="80"/>
      <c r="X140" s="80"/>
      <c r="Y140" s="80"/>
      <c r="Z140" s="80"/>
      <c r="AA140" s="80"/>
      <c r="AB140" s="80"/>
      <c r="AC140" s="80"/>
    </row>
    <row r="141" spans="1:29" ht="15.75" hidden="1" customHeight="1" x14ac:dyDescent="0.25">
      <c r="A141" s="80"/>
      <c r="B141" s="80"/>
      <c r="C141" s="80"/>
      <c r="D141" s="80"/>
      <c r="E141" s="80"/>
      <c r="F141" s="80"/>
      <c r="G141" s="80"/>
      <c r="H141" s="117"/>
      <c r="I141" s="80"/>
      <c r="J141" s="80"/>
      <c r="K141" s="80"/>
      <c r="L141" s="80"/>
      <c r="M141" s="80"/>
      <c r="N141" s="80"/>
      <c r="O141" s="80"/>
      <c r="P141" s="80"/>
      <c r="Q141" s="80"/>
      <c r="R141" s="80"/>
      <c r="S141" s="80"/>
      <c r="T141" s="80"/>
      <c r="U141" s="80"/>
      <c r="V141" s="80"/>
      <c r="W141" s="80"/>
      <c r="X141" s="80"/>
      <c r="Y141" s="80"/>
      <c r="Z141" s="80"/>
      <c r="AA141" s="80"/>
      <c r="AB141" s="80"/>
      <c r="AC141" s="80"/>
    </row>
    <row r="142" spans="1:29" ht="15.75" hidden="1" customHeight="1" x14ac:dyDescent="0.25">
      <c r="A142" s="80"/>
      <c r="B142" s="80"/>
      <c r="C142" s="80"/>
      <c r="D142" s="80"/>
      <c r="E142" s="80"/>
      <c r="F142" s="80"/>
      <c r="G142" s="80"/>
      <c r="H142" s="117"/>
      <c r="I142" s="80"/>
      <c r="J142" s="80"/>
      <c r="K142" s="80"/>
      <c r="L142" s="80"/>
      <c r="M142" s="80"/>
      <c r="N142" s="80"/>
      <c r="O142" s="80"/>
      <c r="P142" s="80"/>
      <c r="Q142" s="80"/>
      <c r="R142" s="80"/>
      <c r="S142" s="80"/>
      <c r="T142" s="80"/>
      <c r="U142" s="80"/>
      <c r="V142" s="80"/>
      <c r="W142" s="80"/>
      <c r="X142" s="80"/>
      <c r="Y142" s="80"/>
      <c r="Z142" s="80"/>
      <c r="AA142" s="80"/>
      <c r="AB142" s="80"/>
      <c r="AC142" s="80"/>
    </row>
    <row r="143" spans="1:29" ht="15.75" hidden="1" customHeight="1" x14ac:dyDescent="0.25">
      <c r="A143" s="80"/>
      <c r="B143" s="80"/>
      <c r="C143" s="80"/>
      <c r="D143" s="80"/>
      <c r="E143" s="80"/>
      <c r="F143" s="80"/>
      <c r="G143" s="80"/>
      <c r="H143" s="117"/>
      <c r="I143" s="80"/>
      <c r="J143" s="80"/>
      <c r="K143" s="80"/>
      <c r="L143" s="80"/>
      <c r="M143" s="80"/>
      <c r="N143" s="80"/>
      <c r="O143" s="80"/>
      <c r="P143" s="80"/>
      <c r="Q143" s="80"/>
      <c r="R143" s="80"/>
      <c r="S143" s="80"/>
      <c r="T143" s="80"/>
      <c r="U143" s="80"/>
      <c r="V143" s="80"/>
      <c r="W143" s="80"/>
      <c r="X143" s="80"/>
      <c r="Y143" s="80"/>
      <c r="Z143" s="80"/>
      <c r="AA143" s="80"/>
      <c r="AB143" s="80"/>
      <c r="AC143" s="80"/>
    </row>
    <row r="144" spans="1:29" ht="15.75" hidden="1" customHeight="1" x14ac:dyDescent="0.25">
      <c r="A144" s="80"/>
      <c r="B144" s="80"/>
      <c r="C144" s="80"/>
      <c r="D144" s="80"/>
      <c r="E144" s="80"/>
      <c r="F144" s="80"/>
      <c r="G144" s="80"/>
      <c r="H144" s="117"/>
      <c r="I144" s="80"/>
      <c r="J144" s="80"/>
      <c r="K144" s="80"/>
      <c r="L144" s="80"/>
      <c r="M144" s="80"/>
      <c r="N144" s="80"/>
      <c r="O144" s="80"/>
      <c r="P144" s="80"/>
      <c r="Q144" s="80"/>
      <c r="R144" s="80"/>
      <c r="S144" s="80"/>
      <c r="T144" s="80"/>
      <c r="U144" s="80"/>
      <c r="V144" s="80"/>
      <c r="W144" s="80"/>
      <c r="X144" s="80"/>
      <c r="Y144" s="80"/>
      <c r="Z144" s="80"/>
      <c r="AA144" s="80"/>
      <c r="AB144" s="80"/>
      <c r="AC144" s="80"/>
    </row>
    <row r="145" spans="1:29" ht="15.75" hidden="1" customHeight="1" x14ac:dyDescent="0.25">
      <c r="A145" s="80"/>
      <c r="B145" s="80"/>
      <c r="C145" s="80"/>
      <c r="D145" s="80"/>
      <c r="E145" s="80"/>
      <c r="F145" s="80"/>
      <c r="G145" s="80"/>
      <c r="H145" s="117"/>
      <c r="I145" s="80"/>
      <c r="J145" s="80"/>
      <c r="K145" s="80"/>
      <c r="L145" s="80"/>
      <c r="M145" s="80"/>
      <c r="N145" s="80"/>
      <c r="O145" s="80"/>
      <c r="P145" s="80"/>
      <c r="Q145" s="80"/>
      <c r="R145" s="80"/>
      <c r="S145" s="80"/>
      <c r="T145" s="80"/>
      <c r="U145" s="80"/>
      <c r="V145" s="80"/>
      <c r="W145" s="80"/>
      <c r="X145" s="80"/>
      <c r="Y145" s="80"/>
      <c r="Z145" s="80"/>
      <c r="AA145" s="80"/>
      <c r="AB145" s="80"/>
      <c r="AC145" s="80"/>
    </row>
    <row r="146" spans="1:29" ht="15.75" hidden="1" customHeight="1" x14ac:dyDescent="0.25">
      <c r="A146" s="80"/>
      <c r="B146" s="80"/>
      <c r="C146" s="80"/>
      <c r="D146" s="80"/>
      <c r="E146" s="80"/>
      <c r="F146" s="80"/>
      <c r="G146" s="80"/>
      <c r="H146" s="117"/>
      <c r="I146" s="80"/>
      <c r="J146" s="80"/>
      <c r="K146" s="80"/>
      <c r="L146" s="80"/>
      <c r="M146" s="80"/>
      <c r="N146" s="80"/>
      <c r="O146" s="80"/>
      <c r="P146" s="80"/>
      <c r="Q146" s="80"/>
      <c r="R146" s="80"/>
      <c r="S146" s="80"/>
      <c r="T146" s="80"/>
      <c r="U146" s="80"/>
      <c r="V146" s="80"/>
      <c r="W146" s="80"/>
      <c r="X146" s="80"/>
      <c r="Y146" s="80"/>
      <c r="Z146" s="80"/>
      <c r="AA146" s="80"/>
      <c r="AB146" s="80"/>
      <c r="AC146" s="80"/>
    </row>
    <row r="147" spans="1:29" ht="15.75" hidden="1" customHeight="1" x14ac:dyDescent="0.25">
      <c r="A147" s="80"/>
      <c r="B147" s="80"/>
      <c r="C147" s="80"/>
      <c r="D147" s="80"/>
      <c r="E147" s="80"/>
      <c r="F147" s="80"/>
      <c r="G147" s="80"/>
      <c r="H147" s="117"/>
      <c r="I147" s="80"/>
      <c r="J147" s="80"/>
      <c r="K147" s="80"/>
      <c r="L147" s="80"/>
      <c r="M147" s="80"/>
      <c r="N147" s="80"/>
      <c r="O147" s="80"/>
      <c r="P147" s="80"/>
      <c r="Q147" s="80"/>
      <c r="R147" s="80"/>
      <c r="S147" s="80"/>
      <c r="T147" s="80"/>
      <c r="U147" s="80"/>
      <c r="V147" s="80"/>
      <c r="W147" s="80"/>
      <c r="X147" s="80"/>
      <c r="Y147" s="80"/>
      <c r="Z147" s="80"/>
      <c r="AA147" s="80"/>
      <c r="AB147" s="80"/>
      <c r="AC147" s="80"/>
    </row>
    <row r="148" spans="1:29" ht="15.75" hidden="1" customHeight="1" x14ac:dyDescent="0.25">
      <c r="A148" s="80"/>
      <c r="B148" s="80"/>
      <c r="C148" s="80"/>
      <c r="D148" s="80"/>
      <c r="E148" s="80"/>
      <c r="F148" s="80"/>
      <c r="G148" s="80"/>
      <c r="H148" s="117"/>
      <c r="I148" s="80"/>
      <c r="J148" s="80"/>
      <c r="K148" s="80"/>
      <c r="L148" s="80"/>
      <c r="M148" s="80"/>
      <c r="N148" s="80"/>
      <c r="O148" s="80"/>
      <c r="P148" s="80"/>
      <c r="Q148" s="80"/>
      <c r="R148" s="80"/>
      <c r="S148" s="80"/>
      <c r="T148" s="80"/>
      <c r="U148" s="80"/>
      <c r="V148" s="80"/>
      <c r="W148" s="80"/>
      <c r="X148" s="80"/>
      <c r="Y148" s="80"/>
      <c r="Z148" s="80"/>
      <c r="AA148" s="80"/>
      <c r="AB148" s="80"/>
      <c r="AC148" s="80"/>
    </row>
    <row r="149" spans="1:29" ht="15.75" hidden="1" customHeight="1" x14ac:dyDescent="0.25">
      <c r="A149" s="80"/>
      <c r="B149" s="80"/>
      <c r="C149" s="80"/>
      <c r="D149" s="80"/>
      <c r="E149" s="80"/>
      <c r="F149" s="80"/>
      <c r="G149" s="80"/>
      <c r="H149" s="117"/>
      <c r="I149" s="80"/>
      <c r="J149" s="80"/>
      <c r="K149" s="80"/>
      <c r="L149" s="80"/>
      <c r="M149" s="80"/>
      <c r="N149" s="80"/>
      <c r="O149" s="80"/>
      <c r="P149" s="80"/>
      <c r="Q149" s="80"/>
      <c r="R149" s="80"/>
      <c r="S149" s="80"/>
      <c r="T149" s="80"/>
      <c r="U149" s="80"/>
      <c r="V149" s="80"/>
      <c r="W149" s="80"/>
      <c r="X149" s="80"/>
      <c r="Y149" s="80"/>
      <c r="Z149" s="80"/>
      <c r="AA149" s="80"/>
      <c r="AB149" s="80"/>
      <c r="AC149" s="80"/>
    </row>
    <row r="150" spans="1:29" ht="15.75" hidden="1" customHeight="1" x14ac:dyDescent="0.25">
      <c r="A150" s="80"/>
      <c r="B150" s="80"/>
      <c r="C150" s="80"/>
      <c r="D150" s="80"/>
      <c r="E150" s="80"/>
      <c r="F150" s="80"/>
      <c r="G150" s="80"/>
      <c r="H150" s="117"/>
      <c r="I150" s="80"/>
      <c r="J150" s="80"/>
      <c r="K150" s="80"/>
      <c r="L150" s="80"/>
      <c r="M150" s="80"/>
      <c r="N150" s="80"/>
      <c r="O150" s="80"/>
      <c r="P150" s="80"/>
      <c r="Q150" s="80"/>
      <c r="R150" s="80"/>
      <c r="S150" s="80"/>
      <c r="T150" s="80"/>
      <c r="U150" s="80"/>
      <c r="V150" s="80"/>
      <c r="W150" s="80"/>
      <c r="X150" s="80"/>
      <c r="Y150" s="80"/>
      <c r="Z150" s="80"/>
      <c r="AA150" s="80"/>
      <c r="AB150" s="80"/>
      <c r="AC150" s="80"/>
    </row>
    <row r="151" spans="1:29" ht="15.75" hidden="1" customHeight="1" x14ac:dyDescent="0.25">
      <c r="A151" s="80"/>
      <c r="B151" s="80"/>
      <c r="C151" s="80"/>
      <c r="D151" s="80"/>
      <c r="E151" s="80"/>
      <c r="F151" s="80"/>
      <c r="G151" s="80"/>
      <c r="H151" s="117"/>
      <c r="I151" s="80"/>
      <c r="J151" s="80"/>
      <c r="K151" s="80"/>
      <c r="L151" s="80"/>
      <c r="M151" s="80"/>
      <c r="N151" s="80"/>
      <c r="O151" s="80"/>
      <c r="P151" s="80"/>
      <c r="Q151" s="80"/>
      <c r="R151" s="80"/>
      <c r="S151" s="80"/>
      <c r="T151" s="80"/>
      <c r="U151" s="80"/>
      <c r="V151" s="80"/>
      <c r="W151" s="80"/>
      <c r="X151" s="80"/>
      <c r="Y151" s="80"/>
      <c r="Z151" s="80"/>
      <c r="AA151" s="80"/>
      <c r="AB151" s="80"/>
      <c r="AC151" s="80"/>
    </row>
    <row r="152" spans="1:29" ht="15.75" hidden="1" customHeight="1" x14ac:dyDescent="0.25">
      <c r="A152" s="80"/>
      <c r="B152" s="80"/>
      <c r="C152" s="80"/>
      <c r="D152" s="80"/>
      <c r="E152" s="80"/>
      <c r="F152" s="80"/>
      <c r="G152" s="80"/>
      <c r="H152" s="117"/>
      <c r="I152" s="80"/>
      <c r="J152" s="80"/>
      <c r="K152" s="80"/>
      <c r="L152" s="80"/>
      <c r="M152" s="80"/>
      <c r="N152" s="80"/>
      <c r="O152" s="80"/>
      <c r="P152" s="80"/>
      <c r="Q152" s="80"/>
      <c r="R152" s="80"/>
      <c r="S152" s="80"/>
      <c r="T152" s="80"/>
      <c r="U152" s="80"/>
      <c r="V152" s="80"/>
      <c r="W152" s="80"/>
      <c r="X152" s="80"/>
      <c r="Y152" s="80"/>
      <c r="Z152" s="80"/>
      <c r="AA152" s="80"/>
      <c r="AB152" s="80"/>
      <c r="AC152" s="80"/>
    </row>
    <row r="153" spans="1:29" ht="15.75" hidden="1" customHeight="1" x14ac:dyDescent="0.25">
      <c r="A153" s="80"/>
      <c r="B153" s="80"/>
      <c r="C153" s="80"/>
      <c r="D153" s="80"/>
      <c r="E153" s="80"/>
      <c r="F153" s="80"/>
      <c r="G153" s="80"/>
      <c r="H153" s="117"/>
      <c r="I153" s="80"/>
      <c r="J153" s="80"/>
      <c r="K153" s="80"/>
      <c r="L153" s="80"/>
      <c r="M153" s="80"/>
      <c r="N153" s="80"/>
      <c r="O153" s="80"/>
      <c r="P153" s="80"/>
      <c r="Q153" s="80"/>
      <c r="R153" s="80"/>
      <c r="S153" s="80"/>
      <c r="T153" s="80"/>
      <c r="U153" s="80"/>
      <c r="V153" s="80"/>
      <c r="W153" s="80"/>
      <c r="X153" s="80"/>
      <c r="Y153" s="80"/>
      <c r="Z153" s="80"/>
      <c r="AA153" s="80"/>
      <c r="AB153" s="80"/>
      <c r="AC153" s="80"/>
    </row>
    <row r="154" spans="1:29" ht="15.75" hidden="1" customHeight="1" x14ac:dyDescent="0.25">
      <c r="A154" s="80"/>
      <c r="B154" s="80"/>
      <c r="C154" s="80"/>
      <c r="D154" s="80"/>
      <c r="E154" s="80"/>
      <c r="F154" s="80"/>
      <c r="G154" s="80"/>
      <c r="H154" s="117"/>
      <c r="I154" s="80"/>
      <c r="J154" s="80"/>
      <c r="K154" s="80"/>
      <c r="L154" s="80"/>
      <c r="M154" s="80"/>
      <c r="N154" s="80"/>
      <c r="O154" s="80"/>
      <c r="P154" s="80"/>
      <c r="Q154" s="80"/>
      <c r="R154" s="80"/>
      <c r="S154" s="80"/>
      <c r="T154" s="80"/>
      <c r="U154" s="80"/>
      <c r="V154" s="80"/>
      <c r="W154" s="80"/>
      <c r="X154" s="80"/>
      <c r="Y154" s="80"/>
      <c r="Z154" s="80"/>
      <c r="AA154" s="80"/>
      <c r="AB154" s="80"/>
      <c r="AC154" s="80"/>
    </row>
    <row r="155" spans="1:29" ht="15.75" hidden="1" customHeight="1" x14ac:dyDescent="0.25">
      <c r="A155" s="80"/>
      <c r="B155" s="80"/>
      <c r="C155" s="80"/>
      <c r="D155" s="80"/>
      <c r="E155" s="80"/>
      <c r="F155" s="80"/>
      <c r="G155" s="80"/>
      <c r="H155" s="117"/>
      <c r="I155" s="80"/>
      <c r="J155" s="80"/>
      <c r="K155" s="80"/>
      <c r="L155" s="80"/>
      <c r="M155" s="80"/>
      <c r="N155" s="80"/>
      <c r="O155" s="80"/>
      <c r="P155" s="80"/>
      <c r="Q155" s="80"/>
      <c r="R155" s="80"/>
      <c r="S155" s="80"/>
      <c r="T155" s="80"/>
      <c r="U155" s="80"/>
      <c r="V155" s="80"/>
      <c r="W155" s="80"/>
      <c r="X155" s="80"/>
      <c r="Y155" s="80"/>
      <c r="Z155" s="80"/>
      <c r="AA155" s="80"/>
      <c r="AB155" s="80"/>
      <c r="AC155" s="80"/>
    </row>
    <row r="156" spans="1:29" ht="15.75" hidden="1" customHeight="1" x14ac:dyDescent="0.25">
      <c r="A156" s="80"/>
      <c r="B156" s="80"/>
      <c r="C156" s="80"/>
      <c r="D156" s="80"/>
      <c r="E156" s="80"/>
      <c r="F156" s="80"/>
      <c r="G156" s="80"/>
      <c r="H156" s="117"/>
      <c r="I156" s="80"/>
      <c r="J156" s="80"/>
      <c r="K156" s="80"/>
      <c r="L156" s="80"/>
      <c r="M156" s="80"/>
      <c r="N156" s="80"/>
      <c r="O156" s="80"/>
      <c r="P156" s="80"/>
      <c r="Q156" s="80"/>
      <c r="R156" s="80"/>
      <c r="S156" s="80"/>
      <c r="T156" s="80"/>
      <c r="U156" s="80"/>
      <c r="V156" s="80"/>
      <c r="W156" s="80"/>
      <c r="X156" s="80"/>
      <c r="Y156" s="80"/>
      <c r="Z156" s="80"/>
      <c r="AA156" s="80"/>
      <c r="AB156" s="80"/>
      <c r="AC156" s="80"/>
    </row>
    <row r="157" spans="1:29" ht="15.75" hidden="1" customHeight="1" x14ac:dyDescent="0.25">
      <c r="A157" s="80"/>
      <c r="B157" s="80"/>
      <c r="C157" s="80"/>
      <c r="D157" s="80"/>
      <c r="E157" s="80"/>
      <c r="F157" s="80"/>
      <c r="G157" s="80"/>
      <c r="H157" s="117"/>
      <c r="I157" s="80"/>
      <c r="J157" s="80"/>
      <c r="K157" s="80"/>
      <c r="L157" s="80"/>
      <c r="M157" s="80"/>
      <c r="N157" s="80"/>
      <c r="O157" s="80"/>
      <c r="P157" s="80"/>
      <c r="Q157" s="80"/>
      <c r="R157" s="80"/>
      <c r="S157" s="80"/>
      <c r="T157" s="80"/>
      <c r="U157" s="80"/>
      <c r="V157" s="80"/>
      <c r="W157" s="80"/>
      <c r="X157" s="80"/>
      <c r="Y157" s="80"/>
      <c r="Z157" s="80"/>
      <c r="AA157" s="80"/>
      <c r="AB157" s="80"/>
      <c r="AC157" s="80"/>
    </row>
    <row r="158" spans="1:29" ht="15.75" hidden="1" customHeight="1" x14ac:dyDescent="0.25">
      <c r="A158" s="80"/>
      <c r="B158" s="80"/>
      <c r="C158" s="80"/>
      <c r="D158" s="80"/>
      <c r="E158" s="80"/>
      <c r="F158" s="80"/>
      <c r="G158" s="80"/>
      <c r="H158" s="117"/>
      <c r="I158" s="80"/>
      <c r="J158" s="80"/>
      <c r="K158" s="80"/>
      <c r="L158" s="80"/>
      <c r="M158" s="80"/>
      <c r="N158" s="80"/>
      <c r="O158" s="80"/>
      <c r="P158" s="80"/>
      <c r="Q158" s="80"/>
      <c r="R158" s="80"/>
      <c r="S158" s="80"/>
      <c r="T158" s="80"/>
      <c r="U158" s="80"/>
      <c r="V158" s="80"/>
      <c r="W158" s="80"/>
      <c r="X158" s="80"/>
      <c r="Y158" s="80"/>
      <c r="Z158" s="80"/>
      <c r="AA158" s="80"/>
      <c r="AB158" s="80"/>
      <c r="AC158" s="80"/>
    </row>
    <row r="159" spans="1:29" ht="15.75" hidden="1" customHeight="1" x14ac:dyDescent="0.25">
      <c r="A159" s="80"/>
      <c r="B159" s="80"/>
      <c r="C159" s="80"/>
      <c r="D159" s="80"/>
      <c r="E159" s="80"/>
      <c r="F159" s="80"/>
      <c r="G159" s="80"/>
      <c r="H159" s="117"/>
      <c r="I159" s="80"/>
      <c r="J159" s="80"/>
      <c r="K159" s="80"/>
      <c r="L159" s="80"/>
      <c r="M159" s="80"/>
      <c r="N159" s="80"/>
      <c r="O159" s="80"/>
      <c r="P159" s="80"/>
      <c r="Q159" s="80"/>
      <c r="R159" s="80"/>
      <c r="S159" s="80"/>
      <c r="T159" s="80"/>
      <c r="U159" s="80"/>
      <c r="V159" s="80"/>
      <c r="W159" s="80"/>
      <c r="X159" s="80"/>
      <c r="Y159" s="80"/>
      <c r="Z159" s="80"/>
      <c r="AA159" s="80"/>
      <c r="AB159" s="80"/>
      <c r="AC159" s="80"/>
    </row>
    <row r="160" spans="1:29" ht="15.75" hidden="1" customHeight="1" x14ac:dyDescent="0.25">
      <c r="A160" s="80"/>
      <c r="B160" s="80"/>
      <c r="C160" s="80"/>
      <c r="D160" s="80"/>
      <c r="E160" s="80"/>
      <c r="F160" s="80"/>
      <c r="G160" s="80"/>
      <c r="H160" s="117"/>
      <c r="I160" s="80"/>
      <c r="J160" s="80"/>
      <c r="K160" s="80"/>
      <c r="L160" s="80"/>
      <c r="M160" s="80"/>
      <c r="N160" s="80"/>
      <c r="O160" s="80"/>
      <c r="P160" s="80"/>
      <c r="Q160" s="80"/>
      <c r="R160" s="80"/>
      <c r="S160" s="80"/>
      <c r="T160" s="80"/>
      <c r="U160" s="80"/>
      <c r="V160" s="80"/>
      <c r="W160" s="80"/>
      <c r="X160" s="80"/>
      <c r="Y160" s="80"/>
      <c r="Z160" s="80"/>
      <c r="AA160" s="80"/>
      <c r="AB160" s="80"/>
      <c r="AC160" s="80"/>
    </row>
    <row r="161" spans="1:29" ht="15.75" hidden="1" customHeight="1" x14ac:dyDescent="0.25">
      <c r="A161" s="80"/>
      <c r="B161" s="80"/>
      <c r="C161" s="80"/>
      <c r="D161" s="80"/>
      <c r="E161" s="80"/>
      <c r="F161" s="80"/>
      <c r="G161" s="80"/>
      <c r="H161" s="117"/>
      <c r="I161" s="80"/>
      <c r="J161" s="80"/>
      <c r="K161" s="80"/>
      <c r="L161" s="80"/>
      <c r="M161" s="80"/>
      <c r="N161" s="80"/>
      <c r="O161" s="80"/>
      <c r="P161" s="80"/>
      <c r="Q161" s="80"/>
      <c r="R161" s="80"/>
      <c r="S161" s="80"/>
      <c r="T161" s="80"/>
      <c r="U161" s="80"/>
      <c r="V161" s="80"/>
      <c r="W161" s="80"/>
      <c r="X161" s="80"/>
      <c r="Y161" s="80"/>
      <c r="Z161" s="80"/>
      <c r="AA161" s="80"/>
      <c r="AB161" s="80"/>
      <c r="AC161" s="80"/>
    </row>
    <row r="162" spans="1:29" ht="15.75" hidden="1" customHeight="1" x14ac:dyDescent="0.25">
      <c r="A162" s="80"/>
      <c r="B162" s="80"/>
      <c r="C162" s="80"/>
      <c r="D162" s="80"/>
      <c r="E162" s="80"/>
      <c r="F162" s="80"/>
      <c r="G162" s="80"/>
      <c r="H162" s="117"/>
      <c r="I162" s="80"/>
      <c r="J162" s="80"/>
      <c r="K162" s="80"/>
      <c r="L162" s="80"/>
      <c r="M162" s="80"/>
      <c r="N162" s="80"/>
      <c r="O162" s="80"/>
      <c r="P162" s="80"/>
      <c r="Q162" s="80"/>
      <c r="R162" s="80"/>
      <c r="S162" s="80"/>
      <c r="T162" s="80"/>
      <c r="U162" s="80"/>
      <c r="V162" s="80"/>
      <c r="W162" s="80"/>
      <c r="X162" s="80"/>
      <c r="Y162" s="80"/>
      <c r="Z162" s="80"/>
      <c r="AA162" s="80"/>
      <c r="AB162" s="80"/>
      <c r="AC162" s="80"/>
    </row>
    <row r="163" spans="1:29" ht="15.75" hidden="1" customHeight="1" x14ac:dyDescent="0.25">
      <c r="A163" s="80"/>
      <c r="B163" s="80"/>
      <c r="C163" s="80"/>
      <c r="D163" s="80"/>
      <c r="E163" s="80"/>
      <c r="F163" s="80"/>
      <c r="G163" s="80"/>
      <c r="H163" s="117"/>
      <c r="I163" s="80"/>
      <c r="J163" s="80"/>
      <c r="K163" s="80"/>
      <c r="L163" s="80"/>
      <c r="M163" s="80"/>
      <c r="N163" s="80"/>
      <c r="O163" s="80"/>
      <c r="P163" s="80"/>
      <c r="Q163" s="80"/>
      <c r="R163" s="80"/>
      <c r="S163" s="80"/>
      <c r="T163" s="80"/>
      <c r="U163" s="80"/>
      <c r="V163" s="80"/>
      <c r="W163" s="80"/>
      <c r="X163" s="80"/>
      <c r="Y163" s="80"/>
      <c r="Z163" s="80"/>
      <c r="AA163" s="80"/>
      <c r="AB163" s="80"/>
      <c r="AC163" s="80"/>
    </row>
    <row r="164" spans="1:29" ht="15.75" hidden="1" customHeight="1" x14ac:dyDescent="0.25">
      <c r="A164" s="80"/>
      <c r="B164" s="80"/>
      <c r="C164" s="80"/>
      <c r="D164" s="80"/>
      <c r="E164" s="80"/>
      <c r="F164" s="80"/>
      <c r="G164" s="80"/>
      <c r="H164" s="117"/>
      <c r="I164" s="80"/>
      <c r="J164" s="80"/>
      <c r="K164" s="80"/>
      <c r="L164" s="80"/>
      <c r="M164" s="80"/>
      <c r="N164" s="80"/>
      <c r="O164" s="80"/>
      <c r="P164" s="80"/>
      <c r="Q164" s="80"/>
      <c r="R164" s="80"/>
      <c r="S164" s="80"/>
      <c r="T164" s="80"/>
      <c r="U164" s="80"/>
      <c r="V164" s="80"/>
      <c r="W164" s="80"/>
      <c r="X164" s="80"/>
      <c r="Y164" s="80"/>
      <c r="Z164" s="80"/>
      <c r="AA164" s="80"/>
      <c r="AB164" s="80"/>
      <c r="AC164" s="80"/>
    </row>
    <row r="165" spans="1:29" ht="15.75" hidden="1" customHeight="1" x14ac:dyDescent="0.25">
      <c r="A165" s="80"/>
      <c r="B165" s="80"/>
      <c r="C165" s="80"/>
      <c r="D165" s="80"/>
      <c r="E165" s="80"/>
      <c r="F165" s="80"/>
      <c r="G165" s="80"/>
      <c r="H165" s="117"/>
      <c r="I165" s="80"/>
      <c r="J165" s="80"/>
      <c r="K165" s="80"/>
      <c r="L165" s="80"/>
      <c r="M165" s="80"/>
      <c r="N165" s="80"/>
      <c r="O165" s="80"/>
      <c r="P165" s="80"/>
      <c r="Q165" s="80"/>
      <c r="R165" s="80"/>
      <c r="S165" s="80"/>
      <c r="T165" s="80"/>
      <c r="U165" s="80"/>
      <c r="V165" s="80"/>
      <c r="W165" s="80"/>
      <c r="X165" s="80"/>
      <c r="Y165" s="80"/>
      <c r="Z165" s="80"/>
      <c r="AA165" s="80"/>
      <c r="AB165" s="80"/>
      <c r="AC165" s="80"/>
    </row>
    <row r="166" spans="1:29" ht="15.75" hidden="1" customHeight="1" x14ac:dyDescent="0.25">
      <c r="A166" s="80"/>
      <c r="B166" s="80"/>
      <c r="C166" s="80"/>
      <c r="D166" s="80"/>
      <c r="E166" s="80"/>
      <c r="F166" s="80"/>
      <c r="G166" s="80"/>
      <c r="H166" s="117"/>
      <c r="I166" s="80"/>
      <c r="J166" s="80"/>
      <c r="K166" s="80"/>
      <c r="L166" s="80"/>
      <c r="M166" s="80"/>
      <c r="N166" s="80"/>
      <c r="O166" s="80"/>
      <c r="P166" s="80"/>
      <c r="Q166" s="80"/>
      <c r="R166" s="80"/>
      <c r="S166" s="80"/>
      <c r="T166" s="80"/>
      <c r="U166" s="80"/>
      <c r="V166" s="80"/>
      <c r="W166" s="80"/>
      <c r="X166" s="80"/>
      <c r="Y166" s="80"/>
      <c r="Z166" s="80"/>
      <c r="AA166" s="80"/>
      <c r="AB166" s="80"/>
      <c r="AC166" s="80"/>
    </row>
    <row r="167" spans="1:29" ht="15.75" hidden="1" customHeight="1" x14ac:dyDescent="0.25">
      <c r="A167" s="80"/>
      <c r="B167" s="80"/>
      <c r="C167" s="80"/>
      <c r="D167" s="80"/>
      <c r="E167" s="80"/>
      <c r="F167" s="80"/>
      <c r="G167" s="80"/>
      <c r="H167" s="117"/>
      <c r="I167" s="80"/>
      <c r="J167" s="80"/>
      <c r="K167" s="80"/>
      <c r="L167" s="80"/>
      <c r="M167" s="80"/>
      <c r="N167" s="80"/>
      <c r="O167" s="80"/>
      <c r="P167" s="80"/>
      <c r="Q167" s="80"/>
      <c r="R167" s="80"/>
      <c r="S167" s="80"/>
      <c r="T167" s="80"/>
      <c r="U167" s="80"/>
      <c r="V167" s="80"/>
      <c r="W167" s="80"/>
      <c r="X167" s="80"/>
      <c r="Y167" s="80"/>
      <c r="Z167" s="80"/>
      <c r="AA167" s="80"/>
      <c r="AB167" s="80"/>
      <c r="AC167" s="80"/>
    </row>
    <row r="168" spans="1:29" ht="15.75" hidden="1" customHeight="1" x14ac:dyDescent="0.25">
      <c r="A168" s="80"/>
      <c r="B168" s="80"/>
      <c r="C168" s="80"/>
      <c r="D168" s="80"/>
      <c r="E168" s="80"/>
      <c r="F168" s="80"/>
      <c r="G168" s="80"/>
      <c r="H168" s="117"/>
      <c r="I168" s="80"/>
      <c r="J168" s="80"/>
      <c r="K168" s="80"/>
      <c r="L168" s="80"/>
      <c r="M168" s="80"/>
      <c r="N168" s="80"/>
      <c r="O168" s="80"/>
      <c r="P168" s="80"/>
      <c r="Q168" s="80"/>
      <c r="R168" s="80"/>
      <c r="S168" s="80"/>
      <c r="T168" s="80"/>
      <c r="U168" s="80"/>
      <c r="V168" s="80"/>
      <c r="W168" s="80"/>
      <c r="X168" s="80"/>
      <c r="Y168" s="80"/>
      <c r="Z168" s="80"/>
      <c r="AA168" s="80"/>
      <c r="AB168" s="80"/>
      <c r="AC168" s="80"/>
    </row>
    <row r="169" spans="1:29" ht="15.75" hidden="1" customHeight="1" x14ac:dyDescent="0.25">
      <c r="A169" s="80"/>
      <c r="B169" s="80"/>
      <c r="C169" s="80"/>
      <c r="D169" s="80"/>
      <c r="E169" s="80"/>
      <c r="F169" s="80"/>
      <c r="G169" s="80"/>
      <c r="H169" s="117"/>
      <c r="I169" s="80"/>
      <c r="J169" s="80"/>
      <c r="K169" s="80"/>
      <c r="L169" s="80"/>
      <c r="M169" s="80"/>
      <c r="N169" s="80"/>
      <c r="O169" s="80"/>
      <c r="P169" s="80"/>
      <c r="Q169" s="80"/>
      <c r="R169" s="80"/>
      <c r="S169" s="80"/>
      <c r="T169" s="80"/>
      <c r="U169" s="80"/>
      <c r="V169" s="80"/>
      <c r="W169" s="80"/>
      <c r="X169" s="80"/>
      <c r="Y169" s="80"/>
      <c r="Z169" s="80"/>
      <c r="AA169" s="80"/>
      <c r="AB169" s="80"/>
      <c r="AC169" s="80"/>
    </row>
    <row r="170" spans="1:29" ht="15.75" hidden="1" customHeight="1" x14ac:dyDescent="0.25">
      <c r="A170" s="80"/>
      <c r="B170" s="80"/>
      <c r="C170" s="80"/>
      <c r="D170" s="80"/>
      <c r="E170" s="80"/>
      <c r="F170" s="80"/>
      <c r="G170" s="80"/>
      <c r="H170" s="117"/>
      <c r="I170" s="80"/>
      <c r="J170" s="80"/>
      <c r="K170" s="80"/>
      <c r="L170" s="80"/>
      <c r="M170" s="80"/>
      <c r="N170" s="80"/>
      <c r="O170" s="80"/>
      <c r="P170" s="80"/>
      <c r="Q170" s="80"/>
      <c r="R170" s="80"/>
      <c r="S170" s="80"/>
      <c r="T170" s="80"/>
      <c r="U170" s="80"/>
      <c r="V170" s="80"/>
      <c r="W170" s="80"/>
      <c r="X170" s="80"/>
      <c r="Y170" s="80"/>
      <c r="Z170" s="80"/>
      <c r="AA170" s="80"/>
      <c r="AB170" s="80"/>
      <c r="AC170" s="80"/>
    </row>
    <row r="171" spans="1:29" ht="15.75" hidden="1" customHeight="1" x14ac:dyDescent="0.25">
      <c r="A171" s="80"/>
      <c r="B171" s="80"/>
      <c r="C171" s="80"/>
      <c r="D171" s="80"/>
      <c r="E171" s="80"/>
      <c r="F171" s="80"/>
      <c r="G171" s="80"/>
      <c r="H171" s="117"/>
      <c r="I171" s="80"/>
      <c r="J171" s="80"/>
      <c r="K171" s="80"/>
      <c r="L171" s="80"/>
      <c r="M171" s="80"/>
      <c r="N171" s="80"/>
      <c r="O171" s="80"/>
      <c r="P171" s="80"/>
      <c r="Q171" s="80"/>
      <c r="R171" s="80"/>
      <c r="S171" s="80"/>
      <c r="T171" s="80"/>
      <c r="U171" s="80"/>
      <c r="V171" s="80"/>
      <c r="W171" s="80"/>
      <c r="X171" s="80"/>
      <c r="Y171" s="80"/>
      <c r="Z171" s="80"/>
      <c r="AA171" s="80"/>
      <c r="AB171" s="80"/>
      <c r="AC171" s="80"/>
    </row>
    <row r="172" spans="1:29" ht="15.75" hidden="1" customHeight="1" x14ac:dyDescent="0.25">
      <c r="A172" s="80"/>
      <c r="B172" s="80"/>
      <c r="C172" s="80"/>
      <c r="D172" s="80"/>
      <c r="E172" s="80"/>
      <c r="F172" s="80"/>
      <c r="G172" s="80"/>
      <c r="H172" s="117"/>
      <c r="I172" s="80"/>
      <c r="J172" s="80"/>
      <c r="K172" s="80"/>
      <c r="L172" s="80"/>
      <c r="M172" s="80"/>
      <c r="N172" s="80"/>
      <c r="O172" s="80"/>
      <c r="P172" s="80"/>
      <c r="Q172" s="80"/>
      <c r="R172" s="80"/>
      <c r="S172" s="80"/>
      <c r="T172" s="80"/>
      <c r="U172" s="80"/>
      <c r="V172" s="80"/>
      <c r="W172" s="80"/>
      <c r="X172" s="80"/>
      <c r="Y172" s="80"/>
      <c r="Z172" s="80"/>
      <c r="AA172" s="80"/>
      <c r="AB172" s="80"/>
      <c r="AC172" s="80"/>
    </row>
    <row r="173" spans="1:29" ht="15.75" hidden="1" customHeight="1" x14ac:dyDescent="0.25">
      <c r="A173" s="80"/>
      <c r="B173" s="80"/>
      <c r="C173" s="80"/>
      <c r="D173" s="80"/>
      <c r="E173" s="80"/>
      <c r="F173" s="80"/>
      <c r="G173" s="80"/>
      <c r="H173" s="117"/>
      <c r="I173" s="80"/>
      <c r="J173" s="80"/>
      <c r="K173" s="80"/>
      <c r="L173" s="80"/>
      <c r="M173" s="80"/>
      <c r="N173" s="80"/>
      <c r="O173" s="80"/>
      <c r="P173" s="80"/>
      <c r="Q173" s="80"/>
      <c r="R173" s="80"/>
      <c r="S173" s="80"/>
      <c r="T173" s="80"/>
      <c r="U173" s="80"/>
      <c r="V173" s="80"/>
      <c r="W173" s="80"/>
      <c r="X173" s="80"/>
      <c r="Y173" s="80"/>
      <c r="Z173" s="80"/>
      <c r="AA173" s="80"/>
      <c r="AB173" s="80"/>
      <c r="AC173" s="80"/>
    </row>
    <row r="174" spans="1:29" ht="15.75" hidden="1" customHeight="1" x14ac:dyDescent="0.25">
      <c r="A174" s="80"/>
      <c r="B174" s="80"/>
      <c r="C174" s="80"/>
      <c r="D174" s="80"/>
      <c r="E174" s="80"/>
      <c r="F174" s="80"/>
      <c r="G174" s="80"/>
      <c r="H174" s="117"/>
      <c r="I174" s="80"/>
      <c r="J174" s="80"/>
      <c r="K174" s="80"/>
      <c r="L174" s="80"/>
      <c r="M174" s="80"/>
      <c r="N174" s="80"/>
      <c r="O174" s="80"/>
      <c r="P174" s="80"/>
      <c r="Q174" s="80"/>
      <c r="R174" s="80"/>
      <c r="S174" s="80"/>
      <c r="T174" s="80"/>
      <c r="U174" s="80"/>
      <c r="V174" s="80"/>
      <c r="W174" s="80"/>
      <c r="X174" s="80"/>
      <c r="Y174" s="80"/>
      <c r="Z174" s="80"/>
      <c r="AA174" s="80"/>
      <c r="AB174" s="80"/>
      <c r="AC174" s="80"/>
    </row>
    <row r="175" spans="1:29" ht="15.75" hidden="1" customHeight="1" x14ac:dyDescent="0.25">
      <c r="A175" s="80"/>
      <c r="B175" s="80"/>
      <c r="C175" s="80"/>
      <c r="D175" s="80"/>
      <c r="E175" s="80"/>
      <c r="F175" s="80"/>
      <c r="G175" s="80"/>
      <c r="H175" s="117"/>
      <c r="I175" s="80"/>
      <c r="J175" s="80"/>
      <c r="K175" s="80"/>
      <c r="L175" s="80"/>
      <c r="M175" s="80"/>
      <c r="N175" s="80"/>
      <c r="O175" s="80"/>
      <c r="P175" s="80"/>
      <c r="Q175" s="80"/>
      <c r="R175" s="80"/>
      <c r="S175" s="80"/>
      <c r="T175" s="80"/>
      <c r="U175" s="80"/>
      <c r="V175" s="80"/>
      <c r="W175" s="80"/>
      <c r="X175" s="80"/>
      <c r="Y175" s="80"/>
      <c r="Z175" s="80"/>
      <c r="AA175" s="80"/>
      <c r="AB175" s="80"/>
      <c r="AC175" s="80"/>
    </row>
    <row r="176" spans="1:29" ht="15.75" hidden="1" customHeight="1" x14ac:dyDescent="0.25">
      <c r="A176" s="80"/>
      <c r="B176" s="80"/>
      <c r="C176" s="80"/>
      <c r="D176" s="80"/>
      <c r="E176" s="80"/>
      <c r="F176" s="80"/>
      <c r="G176" s="80"/>
      <c r="H176" s="117"/>
      <c r="I176" s="80"/>
      <c r="J176" s="80"/>
      <c r="K176" s="80"/>
      <c r="L176" s="80"/>
      <c r="M176" s="80"/>
      <c r="N176" s="80"/>
      <c r="O176" s="80"/>
      <c r="P176" s="80"/>
      <c r="Q176" s="80"/>
      <c r="R176" s="80"/>
      <c r="S176" s="80"/>
      <c r="T176" s="80"/>
      <c r="U176" s="80"/>
      <c r="V176" s="80"/>
      <c r="W176" s="80"/>
      <c r="X176" s="80"/>
      <c r="Y176" s="80"/>
      <c r="Z176" s="80"/>
      <c r="AA176" s="80"/>
      <c r="AB176" s="80"/>
      <c r="AC176" s="80"/>
    </row>
    <row r="177" spans="1:29" ht="15.75" hidden="1" customHeight="1" x14ac:dyDescent="0.25">
      <c r="A177" s="80"/>
      <c r="B177" s="80"/>
      <c r="C177" s="80"/>
      <c r="D177" s="80"/>
      <c r="E177" s="80"/>
      <c r="F177" s="80"/>
      <c r="G177" s="80"/>
      <c r="H177" s="117"/>
      <c r="I177" s="80"/>
      <c r="J177" s="80"/>
      <c r="K177" s="80"/>
      <c r="L177" s="80"/>
      <c r="M177" s="80"/>
      <c r="N177" s="80"/>
      <c r="O177" s="80"/>
      <c r="P177" s="80"/>
      <c r="Q177" s="80"/>
      <c r="R177" s="80"/>
      <c r="S177" s="80"/>
      <c r="T177" s="80"/>
      <c r="U177" s="80"/>
      <c r="V177" s="80"/>
      <c r="W177" s="80"/>
      <c r="X177" s="80"/>
      <c r="Y177" s="80"/>
      <c r="Z177" s="80"/>
      <c r="AA177" s="80"/>
      <c r="AB177" s="80"/>
      <c r="AC177" s="80"/>
    </row>
    <row r="178" spans="1:29" ht="15.75" hidden="1" customHeight="1" x14ac:dyDescent="0.25">
      <c r="A178" s="80"/>
      <c r="B178" s="80"/>
      <c r="C178" s="80"/>
      <c r="D178" s="80"/>
      <c r="E178" s="80"/>
      <c r="F178" s="80"/>
      <c r="G178" s="80"/>
      <c r="H178" s="117"/>
      <c r="I178" s="80"/>
      <c r="J178" s="80"/>
      <c r="K178" s="80"/>
      <c r="L178" s="80"/>
      <c r="M178" s="80"/>
      <c r="N178" s="80"/>
      <c r="O178" s="80"/>
      <c r="P178" s="80"/>
      <c r="Q178" s="80"/>
      <c r="R178" s="80"/>
      <c r="S178" s="80"/>
      <c r="T178" s="80"/>
      <c r="U178" s="80"/>
      <c r="V178" s="80"/>
      <c r="W178" s="80"/>
      <c r="X178" s="80"/>
      <c r="Y178" s="80"/>
      <c r="Z178" s="80"/>
      <c r="AA178" s="80"/>
      <c r="AB178" s="80"/>
      <c r="AC178" s="80"/>
    </row>
    <row r="179" spans="1:29" ht="15.75" hidden="1" customHeight="1" x14ac:dyDescent="0.25">
      <c r="A179" s="80"/>
      <c r="B179" s="80"/>
      <c r="C179" s="80"/>
      <c r="D179" s="80"/>
      <c r="E179" s="80"/>
      <c r="F179" s="80"/>
      <c r="G179" s="80"/>
      <c r="H179" s="117"/>
      <c r="I179" s="80"/>
      <c r="J179" s="80"/>
      <c r="K179" s="80"/>
      <c r="L179" s="80"/>
      <c r="M179" s="80"/>
      <c r="N179" s="80"/>
      <c r="O179" s="80"/>
      <c r="P179" s="80"/>
      <c r="Q179" s="80"/>
      <c r="R179" s="80"/>
      <c r="S179" s="80"/>
      <c r="T179" s="80"/>
      <c r="U179" s="80"/>
      <c r="V179" s="80"/>
      <c r="W179" s="80"/>
      <c r="X179" s="80"/>
      <c r="Y179" s="80"/>
      <c r="Z179" s="80"/>
      <c r="AA179" s="80"/>
      <c r="AB179" s="80"/>
      <c r="AC179" s="80"/>
    </row>
    <row r="180" spans="1:29" ht="15.75" hidden="1" customHeight="1" x14ac:dyDescent="0.25">
      <c r="A180" s="80"/>
      <c r="B180" s="80"/>
      <c r="C180" s="80"/>
      <c r="D180" s="80"/>
      <c r="E180" s="80"/>
      <c r="F180" s="80"/>
      <c r="G180" s="80"/>
      <c r="H180" s="117"/>
      <c r="I180" s="80"/>
      <c r="J180" s="80"/>
      <c r="K180" s="80"/>
      <c r="L180" s="80"/>
      <c r="M180" s="80"/>
      <c r="N180" s="80"/>
      <c r="O180" s="80"/>
      <c r="P180" s="80"/>
      <c r="Q180" s="80"/>
      <c r="R180" s="80"/>
      <c r="S180" s="80"/>
      <c r="T180" s="80"/>
      <c r="U180" s="80"/>
      <c r="V180" s="80"/>
      <c r="W180" s="80"/>
      <c r="X180" s="80"/>
      <c r="Y180" s="80"/>
      <c r="Z180" s="80"/>
      <c r="AA180" s="80"/>
      <c r="AB180" s="80"/>
      <c r="AC180" s="80"/>
    </row>
    <row r="181" spans="1:29" ht="15.75" hidden="1" customHeight="1" x14ac:dyDescent="0.25">
      <c r="A181" s="80"/>
      <c r="B181" s="80"/>
      <c r="C181" s="80"/>
      <c r="D181" s="80"/>
      <c r="E181" s="80"/>
      <c r="F181" s="80"/>
      <c r="G181" s="80"/>
      <c r="H181" s="117"/>
      <c r="I181" s="80"/>
      <c r="J181" s="80"/>
      <c r="K181" s="80"/>
      <c r="L181" s="80"/>
      <c r="M181" s="80"/>
      <c r="N181" s="80"/>
      <c r="O181" s="80"/>
      <c r="P181" s="80"/>
      <c r="Q181" s="80"/>
      <c r="R181" s="80"/>
      <c r="S181" s="80"/>
      <c r="T181" s="80"/>
      <c r="U181" s="80"/>
      <c r="V181" s="80"/>
      <c r="W181" s="80"/>
      <c r="X181" s="80"/>
      <c r="Y181" s="80"/>
      <c r="Z181" s="80"/>
      <c r="AA181" s="80"/>
      <c r="AB181" s="80"/>
      <c r="AC181" s="80"/>
    </row>
    <row r="182" spans="1:29" ht="15.75" hidden="1" customHeight="1" x14ac:dyDescent="0.25">
      <c r="A182" s="80"/>
      <c r="B182" s="80"/>
      <c r="C182" s="80"/>
      <c r="D182" s="80"/>
      <c r="E182" s="80"/>
      <c r="F182" s="80"/>
      <c r="G182" s="80"/>
      <c r="H182" s="117"/>
      <c r="I182" s="80"/>
      <c r="J182" s="80"/>
      <c r="K182" s="80"/>
      <c r="L182" s="80"/>
      <c r="M182" s="80"/>
      <c r="N182" s="80"/>
      <c r="O182" s="80"/>
      <c r="P182" s="80"/>
      <c r="Q182" s="80"/>
      <c r="R182" s="80"/>
      <c r="S182" s="80"/>
      <c r="T182" s="80"/>
      <c r="U182" s="80"/>
      <c r="V182" s="80"/>
      <c r="W182" s="80"/>
      <c r="X182" s="80"/>
      <c r="Y182" s="80"/>
      <c r="Z182" s="80"/>
      <c r="AA182" s="80"/>
      <c r="AB182" s="80"/>
      <c r="AC182" s="80"/>
    </row>
    <row r="183" spans="1:29" ht="15.75" hidden="1" customHeight="1" x14ac:dyDescent="0.25">
      <c r="A183" s="80"/>
      <c r="B183" s="80"/>
      <c r="C183" s="80"/>
      <c r="D183" s="80"/>
      <c r="E183" s="80"/>
      <c r="F183" s="80"/>
      <c r="G183" s="80"/>
      <c r="H183" s="117"/>
      <c r="I183" s="80"/>
      <c r="J183" s="80"/>
      <c r="K183" s="80"/>
      <c r="L183" s="80"/>
      <c r="M183" s="80"/>
      <c r="N183" s="80"/>
      <c r="O183" s="80"/>
      <c r="P183" s="80"/>
      <c r="Q183" s="80"/>
      <c r="R183" s="80"/>
      <c r="S183" s="80"/>
      <c r="T183" s="80"/>
      <c r="U183" s="80"/>
      <c r="V183" s="80"/>
      <c r="W183" s="80"/>
      <c r="X183" s="80"/>
      <c r="Y183" s="80"/>
      <c r="Z183" s="80"/>
      <c r="AA183" s="80"/>
      <c r="AB183" s="80"/>
      <c r="AC183" s="80"/>
    </row>
    <row r="184" spans="1:29" ht="15.75" hidden="1" customHeight="1" x14ac:dyDescent="0.25">
      <c r="A184" s="80"/>
      <c r="B184" s="80"/>
      <c r="C184" s="80"/>
      <c r="D184" s="80"/>
      <c r="E184" s="80"/>
      <c r="F184" s="80"/>
      <c r="G184" s="80"/>
      <c r="H184" s="117"/>
      <c r="I184" s="80"/>
      <c r="J184" s="80"/>
      <c r="K184" s="80"/>
      <c r="L184" s="80"/>
      <c r="M184" s="80"/>
      <c r="N184" s="80"/>
      <c r="O184" s="80"/>
      <c r="P184" s="80"/>
      <c r="Q184" s="80"/>
      <c r="R184" s="80"/>
      <c r="S184" s="80"/>
      <c r="T184" s="80"/>
      <c r="U184" s="80"/>
      <c r="V184" s="80"/>
      <c r="W184" s="80"/>
      <c r="X184" s="80"/>
      <c r="Y184" s="80"/>
      <c r="Z184" s="80"/>
      <c r="AA184" s="80"/>
      <c r="AB184" s="80"/>
      <c r="AC184" s="80"/>
    </row>
    <row r="185" spans="1:29" ht="15.75" hidden="1" customHeight="1" x14ac:dyDescent="0.25">
      <c r="A185" s="80"/>
      <c r="B185" s="80"/>
      <c r="C185" s="80"/>
      <c r="D185" s="80"/>
      <c r="E185" s="80"/>
      <c r="F185" s="80"/>
      <c r="G185" s="80"/>
      <c r="H185" s="117"/>
      <c r="I185" s="80"/>
      <c r="J185" s="80"/>
      <c r="K185" s="80"/>
      <c r="L185" s="80"/>
      <c r="M185" s="80"/>
      <c r="N185" s="80"/>
      <c r="O185" s="80"/>
      <c r="P185" s="80"/>
      <c r="Q185" s="80"/>
      <c r="R185" s="80"/>
      <c r="S185" s="80"/>
      <c r="T185" s="80"/>
      <c r="U185" s="80"/>
      <c r="V185" s="80"/>
      <c r="W185" s="80"/>
      <c r="X185" s="80"/>
      <c r="Y185" s="80"/>
      <c r="Z185" s="80"/>
      <c r="AA185" s="80"/>
      <c r="AB185" s="80"/>
      <c r="AC185" s="80"/>
    </row>
    <row r="186" spans="1:29" ht="15.75" hidden="1" customHeight="1" x14ac:dyDescent="0.25">
      <c r="A186" s="80"/>
      <c r="B186" s="80"/>
      <c r="C186" s="80"/>
      <c r="D186" s="80"/>
      <c r="E186" s="80"/>
      <c r="F186" s="80"/>
      <c r="G186" s="80"/>
      <c r="H186" s="117"/>
      <c r="I186" s="80"/>
      <c r="J186" s="80"/>
      <c r="K186" s="80"/>
      <c r="L186" s="80"/>
      <c r="M186" s="80"/>
      <c r="N186" s="80"/>
      <c r="O186" s="80"/>
      <c r="P186" s="80"/>
      <c r="Q186" s="80"/>
      <c r="R186" s="80"/>
      <c r="S186" s="80"/>
      <c r="T186" s="80"/>
      <c r="U186" s="80"/>
      <c r="V186" s="80"/>
      <c r="W186" s="80"/>
      <c r="X186" s="80"/>
      <c r="Y186" s="80"/>
      <c r="Z186" s="80"/>
      <c r="AA186" s="80"/>
      <c r="AB186" s="80"/>
      <c r="AC186" s="80"/>
    </row>
    <row r="187" spans="1:29" ht="15.75" hidden="1" customHeight="1" x14ac:dyDescent="0.25">
      <c r="A187" s="80"/>
      <c r="B187" s="80"/>
      <c r="C187" s="80"/>
      <c r="D187" s="80"/>
      <c r="E187" s="80"/>
      <c r="F187" s="80"/>
      <c r="G187" s="80"/>
      <c r="H187" s="117"/>
      <c r="I187" s="80"/>
      <c r="J187" s="80"/>
      <c r="K187" s="80"/>
      <c r="L187" s="80"/>
      <c r="M187" s="80"/>
      <c r="N187" s="80"/>
      <c r="O187" s="80"/>
      <c r="P187" s="80"/>
      <c r="Q187" s="80"/>
      <c r="R187" s="80"/>
      <c r="S187" s="80"/>
      <c r="T187" s="80"/>
      <c r="U187" s="80"/>
      <c r="V187" s="80"/>
      <c r="W187" s="80"/>
      <c r="X187" s="80"/>
      <c r="Y187" s="80"/>
      <c r="Z187" s="80"/>
      <c r="AA187" s="80"/>
      <c r="AB187" s="80"/>
      <c r="AC187" s="80"/>
    </row>
    <row r="188" spans="1:29" ht="15.75" hidden="1" customHeight="1" x14ac:dyDescent="0.25">
      <c r="A188" s="80"/>
      <c r="B188" s="80"/>
      <c r="C188" s="80"/>
      <c r="D188" s="80"/>
      <c r="E188" s="80"/>
      <c r="F188" s="80"/>
      <c r="G188" s="80"/>
      <c r="H188" s="117"/>
      <c r="I188" s="80"/>
      <c r="J188" s="80"/>
      <c r="K188" s="80"/>
      <c r="L188" s="80"/>
      <c r="M188" s="80"/>
      <c r="N188" s="80"/>
      <c r="O188" s="80"/>
      <c r="P188" s="80"/>
      <c r="Q188" s="80"/>
      <c r="R188" s="80"/>
      <c r="S188" s="80"/>
      <c r="T188" s="80"/>
      <c r="U188" s="80"/>
      <c r="V188" s="80"/>
      <c r="W188" s="80"/>
      <c r="X188" s="80"/>
      <c r="Y188" s="80"/>
      <c r="Z188" s="80"/>
      <c r="AA188" s="80"/>
      <c r="AB188" s="80"/>
      <c r="AC188" s="80"/>
    </row>
    <row r="189" spans="1:29" ht="15.75" hidden="1" customHeight="1" x14ac:dyDescent="0.25">
      <c r="A189" s="80"/>
      <c r="B189" s="80"/>
      <c r="C189" s="80"/>
      <c r="D189" s="80"/>
      <c r="E189" s="80"/>
      <c r="F189" s="80"/>
      <c r="G189" s="80"/>
      <c r="H189" s="117"/>
      <c r="I189" s="80"/>
      <c r="J189" s="80"/>
      <c r="K189" s="80"/>
      <c r="L189" s="80"/>
      <c r="M189" s="80"/>
      <c r="N189" s="80"/>
      <c r="O189" s="80"/>
      <c r="P189" s="80"/>
      <c r="Q189" s="80"/>
      <c r="R189" s="80"/>
      <c r="S189" s="80"/>
      <c r="T189" s="80"/>
      <c r="U189" s="80"/>
      <c r="V189" s="80"/>
      <c r="W189" s="80"/>
      <c r="X189" s="80"/>
      <c r="Y189" s="80"/>
      <c r="Z189" s="80"/>
      <c r="AA189" s="80"/>
      <c r="AB189" s="80"/>
      <c r="AC189" s="80"/>
    </row>
    <row r="190" spans="1:29" ht="15.75" hidden="1" customHeight="1" x14ac:dyDescent="0.25">
      <c r="A190" s="80"/>
      <c r="B190" s="80"/>
      <c r="C190" s="80"/>
      <c r="D190" s="80"/>
      <c r="E190" s="80"/>
      <c r="F190" s="80"/>
      <c r="G190" s="80"/>
      <c r="H190" s="117"/>
      <c r="I190" s="80"/>
      <c r="J190" s="80"/>
      <c r="K190" s="80"/>
      <c r="L190" s="80"/>
      <c r="M190" s="80"/>
      <c r="N190" s="80"/>
      <c r="O190" s="80"/>
      <c r="P190" s="80"/>
      <c r="Q190" s="80"/>
      <c r="R190" s="80"/>
      <c r="S190" s="80"/>
      <c r="T190" s="80"/>
      <c r="U190" s="80"/>
      <c r="V190" s="80"/>
      <c r="W190" s="80"/>
      <c r="X190" s="80"/>
      <c r="Y190" s="80"/>
      <c r="Z190" s="80"/>
      <c r="AA190" s="80"/>
      <c r="AB190" s="80"/>
      <c r="AC190" s="80"/>
    </row>
    <row r="191" spans="1:29" ht="15.75" hidden="1" customHeight="1" x14ac:dyDescent="0.25">
      <c r="A191" s="80"/>
      <c r="B191" s="80"/>
      <c r="C191" s="80"/>
      <c r="D191" s="80"/>
      <c r="E191" s="80"/>
      <c r="F191" s="80"/>
      <c r="G191" s="80"/>
      <c r="H191" s="117"/>
      <c r="I191" s="80"/>
      <c r="J191" s="80"/>
      <c r="K191" s="80"/>
      <c r="L191" s="80"/>
      <c r="M191" s="80"/>
      <c r="N191" s="80"/>
      <c r="O191" s="80"/>
      <c r="P191" s="80"/>
      <c r="Q191" s="80"/>
      <c r="R191" s="80"/>
      <c r="S191" s="80"/>
      <c r="T191" s="80"/>
      <c r="U191" s="80"/>
      <c r="V191" s="80"/>
      <c r="W191" s="80"/>
      <c r="X191" s="80"/>
      <c r="Y191" s="80"/>
      <c r="Z191" s="80"/>
      <c r="AA191" s="80"/>
      <c r="AB191" s="80"/>
      <c r="AC191" s="80"/>
    </row>
    <row r="192" spans="1:29" ht="15.75" hidden="1" customHeight="1" x14ac:dyDescent="0.25">
      <c r="A192" s="80"/>
      <c r="B192" s="80"/>
      <c r="C192" s="80"/>
      <c r="D192" s="80"/>
      <c r="E192" s="80"/>
      <c r="F192" s="80"/>
      <c r="G192" s="80"/>
      <c r="H192" s="117"/>
      <c r="I192" s="80"/>
      <c r="J192" s="80"/>
      <c r="K192" s="80"/>
      <c r="L192" s="80"/>
      <c r="M192" s="80"/>
      <c r="N192" s="80"/>
      <c r="O192" s="80"/>
      <c r="P192" s="80"/>
      <c r="Q192" s="80"/>
      <c r="R192" s="80"/>
      <c r="S192" s="80"/>
      <c r="T192" s="80"/>
      <c r="U192" s="80"/>
      <c r="V192" s="80"/>
      <c r="W192" s="80"/>
      <c r="X192" s="80"/>
      <c r="Y192" s="80"/>
      <c r="Z192" s="80"/>
      <c r="AA192" s="80"/>
      <c r="AB192" s="80"/>
      <c r="AC192" s="80"/>
    </row>
    <row r="193" spans="1:29" ht="15.75" hidden="1" customHeight="1" x14ac:dyDescent="0.25">
      <c r="A193" s="80"/>
      <c r="B193" s="80"/>
      <c r="C193" s="80"/>
      <c r="D193" s="80"/>
      <c r="E193" s="80"/>
      <c r="F193" s="80"/>
      <c r="G193" s="80"/>
      <c r="H193" s="117"/>
      <c r="I193" s="80"/>
      <c r="J193" s="80"/>
      <c r="K193" s="80"/>
      <c r="L193" s="80"/>
      <c r="M193" s="80"/>
      <c r="N193" s="80"/>
      <c r="O193" s="80"/>
      <c r="P193" s="80"/>
      <c r="Q193" s="80"/>
      <c r="R193" s="80"/>
      <c r="S193" s="80"/>
      <c r="T193" s="80"/>
      <c r="U193" s="80"/>
      <c r="V193" s="80"/>
      <c r="W193" s="80"/>
      <c r="X193" s="80"/>
      <c r="Y193" s="80"/>
      <c r="Z193" s="80"/>
      <c r="AA193" s="80"/>
      <c r="AB193" s="80"/>
      <c r="AC193" s="80"/>
    </row>
    <row r="194" spans="1:29" ht="15.75" hidden="1" customHeight="1" x14ac:dyDescent="0.25">
      <c r="A194" s="80"/>
      <c r="B194" s="80"/>
      <c r="C194" s="80"/>
      <c r="D194" s="80"/>
      <c r="E194" s="80"/>
      <c r="F194" s="80"/>
      <c r="G194" s="80"/>
      <c r="H194" s="117"/>
      <c r="I194" s="80"/>
      <c r="J194" s="80"/>
      <c r="K194" s="80"/>
      <c r="L194" s="80"/>
      <c r="M194" s="80"/>
      <c r="N194" s="80"/>
      <c r="O194" s="80"/>
      <c r="P194" s="80"/>
      <c r="Q194" s="80"/>
      <c r="R194" s="80"/>
      <c r="S194" s="80"/>
      <c r="T194" s="80"/>
      <c r="U194" s="80"/>
      <c r="V194" s="80"/>
      <c r="W194" s="80"/>
      <c r="X194" s="80"/>
      <c r="Y194" s="80"/>
      <c r="Z194" s="80"/>
      <c r="AA194" s="80"/>
      <c r="AB194" s="80"/>
      <c r="AC194" s="80"/>
    </row>
    <row r="195" spans="1:29" ht="15.75" hidden="1" customHeight="1" x14ac:dyDescent="0.25">
      <c r="A195" s="80"/>
      <c r="B195" s="80"/>
      <c r="C195" s="80"/>
      <c r="D195" s="80"/>
      <c r="E195" s="80"/>
      <c r="F195" s="80"/>
      <c r="G195" s="80"/>
      <c r="H195" s="117"/>
      <c r="I195" s="80"/>
      <c r="J195" s="80"/>
      <c r="K195" s="80"/>
      <c r="L195" s="80"/>
      <c r="M195" s="80"/>
      <c r="N195" s="80"/>
      <c r="O195" s="80"/>
      <c r="P195" s="80"/>
      <c r="Q195" s="80"/>
      <c r="R195" s="80"/>
      <c r="S195" s="80"/>
      <c r="T195" s="80"/>
      <c r="U195" s="80"/>
      <c r="V195" s="80"/>
      <c r="W195" s="80"/>
      <c r="X195" s="80"/>
      <c r="Y195" s="80"/>
      <c r="Z195" s="80"/>
      <c r="AA195" s="80"/>
      <c r="AB195" s="80"/>
      <c r="AC195" s="80"/>
    </row>
    <row r="196" spans="1:29" ht="15.75" hidden="1" customHeight="1" x14ac:dyDescent="0.25">
      <c r="A196" s="80"/>
      <c r="B196" s="80"/>
      <c r="C196" s="80"/>
      <c r="D196" s="80"/>
      <c r="E196" s="80"/>
      <c r="F196" s="80"/>
      <c r="G196" s="80"/>
      <c r="H196" s="117"/>
      <c r="I196" s="80"/>
      <c r="J196" s="80"/>
      <c r="K196" s="80"/>
      <c r="L196" s="80"/>
      <c r="M196" s="80"/>
      <c r="N196" s="80"/>
      <c r="O196" s="80"/>
      <c r="P196" s="80"/>
      <c r="Q196" s="80"/>
      <c r="R196" s="80"/>
      <c r="S196" s="80"/>
      <c r="T196" s="80"/>
      <c r="U196" s="80"/>
      <c r="V196" s="80"/>
      <c r="W196" s="80"/>
      <c r="X196" s="80"/>
      <c r="Y196" s="80"/>
      <c r="Z196" s="80"/>
      <c r="AA196" s="80"/>
      <c r="AB196" s="80"/>
      <c r="AC196" s="80"/>
    </row>
    <row r="197" spans="1:29" ht="15.75" hidden="1" customHeight="1" x14ac:dyDescent="0.25">
      <c r="A197" s="80"/>
      <c r="B197" s="80"/>
      <c r="C197" s="80"/>
      <c r="D197" s="80"/>
      <c r="E197" s="80"/>
      <c r="F197" s="80"/>
      <c r="G197" s="80"/>
      <c r="H197" s="117"/>
      <c r="I197" s="80"/>
      <c r="J197" s="80"/>
      <c r="K197" s="80"/>
      <c r="L197" s="80"/>
      <c r="M197" s="80"/>
      <c r="N197" s="80"/>
      <c r="O197" s="80"/>
      <c r="P197" s="80"/>
      <c r="Q197" s="80"/>
      <c r="R197" s="80"/>
      <c r="S197" s="80"/>
      <c r="T197" s="80"/>
      <c r="U197" s="80"/>
      <c r="V197" s="80"/>
      <c r="W197" s="80"/>
      <c r="X197" s="80"/>
      <c r="Y197" s="80"/>
      <c r="Z197" s="80"/>
      <c r="AA197" s="80"/>
      <c r="AB197" s="80"/>
      <c r="AC197" s="80"/>
    </row>
    <row r="198" spans="1:29" ht="15.75" hidden="1" customHeight="1" x14ac:dyDescent="0.25">
      <c r="A198" s="80"/>
      <c r="B198" s="80"/>
      <c r="C198" s="80"/>
      <c r="D198" s="80"/>
      <c r="E198" s="80"/>
      <c r="F198" s="80"/>
      <c r="G198" s="80"/>
      <c r="H198" s="117"/>
      <c r="I198" s="80"/>
      <c r="J198" s="80"/>
      <c r="K198" s="80"/>
      <c r="L198" s="80"/>
      <c r="M198" s="80"/>
      <c r="N198" s="80"/>
      <c r="O198" s="80"/>
      <c r="P198" s="80"/>
      <c r="Q198" s="80"/>
      <c r="R198" s="80"/>
      <c r="S198" s="80"/>
      <c r="T198" s="80"/>
      <c r="U198" s="80"/>
      <c r="V198" s="80"/>
      <c r="W198" s="80"/>
      <c r="X198" s="80"/>
      <c r="Y198" s="80"/>
      <c r="Z198" s="80"/>
      <c r="AA198" s="80"/>
      <c r="AB198" s="80"/>
      <c r="AC198" s="80"/>
    </row>
    <row r="199" spans="1:29" ht="15.75" hidden="1" customHeight="1" x14ac:dyDescent="0.25">
      <c r="A199" s="80"/>
      <c r="B199" s="80"/>
      <c r="C199" s="80"/>
      <c r="D199" s="80"/>
      <c r="E199" s="80"/>
      <c r="F199" s="80"/>
      <c r="G199" s="80"/>
      <c r="H199" s="117"/>
      <c r="I199" s="80"/>
      <c r="J199" s="80"/>
      <c r="K199" s="80"/>
      <c r="L199" s="80"/>
      <c r="M199" s="80"/>
      <c r="N199" s="80"/>
      <c r="O199" s="80"/>
      <c r="P199" s="80"/>
      <c r="Q199" s="80"/>
      <c r="R199" s="80"/>
      <c r="S199" s="80"/>
      <c r="T199" s="80"/>
      <c r="U199" s="80"/>
      <c r="V199" s="80"/>
      <c r="W199" s="80"/>
      <c r="X199" s="80"/>
      <c r="Y199" s="80"/>
      <c r="Z199" s="80"/>
      <c r="AA199" s="80"/>
      <c r="AB199" s="80"/>
      <c r="AC199" s="80"/>
    </row>
    <row r="200" spans="1:29" ht="15.75" hidden="1" customHeight="1" x14ac:dyDescent="0.25">
      <c r="A200" s="80"/>
      <c r="B200" s="80"/>
      <c r="C200" s="80"/>
      <c r="D200" s="80"/>
      <c r="E200" s="80"/>
      <c r="F200" s="80"/>
      <c r="G200" s="80"/>
      <c r="H200" s="117"/>
      <c r="I200" s="80"/>
      <c r="J200" s="80"/>
      <c r="K200" s="80"/>
      <c r="L200" s="80"/>
      <c r="M200" s="80"/>
      <c r="N200" s="80"/>
      <c r="O200" s="80"/>
      <c r="P200" s="80"/>
      <c r="Q200" s="80"/>
      <c r="R200" s="80"/>
      <c r="S200" s="80"/>
      <c r="T200" s="80"/>
      <c r="U200" s="80"/>
      <c r="V200" s="80"/>
      <c r="W200" s="80"/>
      <c r="X200" s="80"/>
      <c r="Y200" s="80"/>
      <c r="Z200" s="80"/>
      <c r="AA200" s="80"/>
      <c r="AB200" s="80"/>
      <c r="AC200" s="80"/>
    </row>
    <row r="201" spans="1:29" ht="15.75" hidden="1" customHeight="1" x14ac:dyDescent="0.25">
      <c r="A201" s="80"/>
      <c r="B201" s="80"/>
      <c r="C201" s="80"/>
      <c r="D201" s="80"/>
      <c r="E201" s="80"/>
      <c r="F201" s="80"/>
      <c r="G201" s="80"/>
      <c r="H201" s="117"/>
      <c r="I201" s="80"/>
      <c r="J201" s="80"/>
      <c r="K201" s="80"/>
      <c r="L201" s="80"/>
      <c r="M201" s="80"/>
      <c r="N201" s="80"/>
      <c r="O201" s="80"/>
      <c r="P201" s="80"/>
      <c r="Q201" s="80"/>
      <c r="R201" s="80"/>
      <c r="S201" s="80"/>
      <c r="T201" s="80"/>
      <c r="U201" s="80"/>
      <c r="V201" s="80"/>
      <c r="W201" s="80"/>
      <c r="X201" s="80"/>
      <c r="Y201" s="80"/>
      <c r="Z201" s="80"/>
      <c r="AA201" s="80"/>
      <c r="AB201" s="80"/>
      <c r="AC201" s="80"/>
    </row>
    <row r="202" spans="1:29" ht="15.75" hidden="1" customHeight="1" x14ac:dyDescent="0.25">
      <c r="A202" s="80"/>
      <c r="B202" s="80"/>
      <c r="C202" s="80"/>
      <c r="D202" s="80"/>
      <c r="E202" s="80"/>
      <c r="F202" s="80"/>
      <c r="G202" s="80"/>
      <c r="H202" s="117"/>
      <c r="I202" s="80"/>
      <c r="J202" s="80"/>
      <c r="K202" s="80"/>
      <c r="L202" s="80"/>
      <c r="M202" s="80"/>
      <c r="N202" s="80"/>
      <c r="O202" s="80"/>
      <c r="P202" s="80"/>
      <c r="Q202" s="80"/>
      <c r="R202" s="80"/>
      <c r="S202" s="80"/>
      <c r="T202" s="80"/>
      <c r="U202" s="80"/>
      <c r="V202" s="80"/>
      <c r="W202" s="80"/>
      <c r="X202" s="80"/>
      <c r="Y202" s="80"/>
      <c r="Z202" s="80"/>
      <c r="AA202" s="80"/>
      <c r="AB202" s="80"/>
      <c r="AC202" s="80"/>
    </row>
    <row r="203" spans="1:29" ht="15.75" hidden="1" customHeight="1" x14ac:dyDescent="0.25">
      <c r="A203" s="80"/>
      <c r="B203" s="80"/>
      <c r="C203" s="80"/>
      <c r="D203" s="80"/>
      <c r="E203" s="80"/>
      <c r="F203" s="80"/>
      <c r="G203" s="80"/>
      <c r="H203" s="117"/>
      <c r="I203" s="80"/>
      <c r="J203" s="80"/>
      <c r="K203" s="80"/>
      <c r="L203" s="80"/>
      <c r="M203" s="80"/>
      <c r="N203" s="80"/>
      <c r="O203" s="80"/>
      <c r="P203" s="80"/>
      <c r="Q203" s="80"/>
      <c r="R203" s="80"/>
      <c r="S203" s="80"/>
      <c r="T203" s="80"/>
      <c r="U203" s="80"/>
      <c r="V203" s="80"/>
      <c r="W203" s="80"/>
      <c r="X203" s="80"/>
      <c r="Y203" s="80"/>
      <c r="Z203" s="80"/>
      <c r="AA203" s="80"/>
      <c r="AB203" s="80"/>
      <c r="AC203" s="80"/>
    </row>
    <row r="204" spans="1:29" ht="15.75" hidden="1" customHeight="1" x14ac:dyDescent="0.25">
      <c r="A204" s="80"/>
      <c r="B204" s="80"/>
      <c r="C204" s="80"/>
      <c r="D204" s="80"/>
      <c r="E204" s="80"/>
      <c r="F204" s="80"/>
      <c r="G204" s="80"/>
      <c r="H204" s="117"/>
      <c r="I204" s="80"/>
      <c r="J204" s="80"/>
      <c r="K204" s="80"/>
      <c r="L204" s="80"/>
      <c r="M204" s="80"/>
      <c r="N204" s="80"/>
      <c r="O204" s="80"/>
      <c r="P204" s="80"/>
      <c r="Q204" s="80"/>
      <c r="R204" s="80"/>
      <c r="S204" s="80"/>
      <c r="T204" s="80"/>
      <c r="U204" s="80"/>
      <c r="V204" s="80"/>
      <c r="W204" s="80"/>
      <c r="X204" s="80"/>
      <c r="Y204" s="80"/>
      <c r="Z204" s="80"/>
      <c r="AA204" s="80"/>
      <c r="AB204" s="80"/>
      <c r="AC204" s="80"/>
    </row>
    <row r="205" spans="1:29" ht="15.75" hidden="1" customHeight="1" x14ac:dyDescent="0.25">
      <c r="A205" s="80"/>
      <c r="B205" s="80"/>
      <c r="C205" s="80"/>
      <c r="D205" s="80"/>
      <c r="E205" s="80"/>
      <c r="F205" s="80"/>
      <c r="G205" s="80"/>
      <c r="H205" s="117"/>
      <c r="I205" s="80"/>
      <c r="J205" s="80"/>
      <c r="K205" s="80"/>
      <c r="L205" s="80"/>
      <c r="M205" s="80"/>
      <c r="N205" s="80"/>
      <c r="O205" s="80"/>
      <c r="P205" s="80"/>
      <c r="Q205" s="80"/>
      <c r="R205" s="80"/>
      <c r="S205" s="80"/>
      <c r="T205" s="80"/>
      <c r="U205" s="80"/>
      <c r="V205" s="80"/>
      <c r="W205" s="80"/>
      <c r="X205" s="80"/>
      <c r="Y205" s="80"/>
      <c r="Z205" s="80"/>
      <c r="AA205" s="80"/>
      <c r="AB205" s="80"/>
      <c r="AC205" s="80"/>
    </row>
    <row r="206" spans="1:29" ht="15.75" hidden="1" customHeight="1" x14ac:dyDescent="0.25">
      <c r="A206" s="80"/>
      <c r="B206" s="80"/>
      <c r="C206" s="80"/>
      <c r="D206" s="80"/>
      <c r="E206" s="80"/>
      <c r="F206" s="80"/>
      <c r="G206" s="80"/>
      <c r="H206" s="117"/>
      <c r="I206" s="80"/>
      <c r="J206" s="80"/>
      <c r="K206" s="80"/>
      <c r="L206" s="80"/>
      <c r="M206" s="80"/>
      <c r="N206" s="80"/>
      <c r="O206" s="80"/>
      <c r="P206" s="80"/>
      <c r="Q206" s="80"/>
      <c r="R206" s="80"/>
      <c r="S206" s="80"/>
      <c r="T206" s="80"/>
      <c r="U206" s="80"/>
      <c r="V206" s="80"/>
      <c r="W206" s="80"/>
      <c r="X206" s="80"/>
      <c r="Y206" s="80"/>
      <c r="Z206" s="80"/>
      <c r="AA206" s="80"/>
      <c r="AB206" s="80"/>
      <c r="AC206" s="80"/>
    </row>
    <row r="207" spans="1:29" ht="15.75" hidden="1" customHeight="1" x14ac:dyDescent="0.25">
      <c r="A207" s="80"/>
      <c r="B207" s="80"/>
      <c r="C207" s="80"/>
      <c r="D207" s="80"/>
      <c r="E207" s="80"/>
      <c r="F207" s="80"/>
      <c r="G207" s="80"/>
      <c r="H207" s="117"/>
      <c r="I207" s="80"/>
      <c r="J207" s="80"/>
      <c r="K207" s="80"/>
      <c r="L207" s="80"/>
      <c r="M207" s="80"/>
      <c r="N207" s="80"/>
      <c r="O207" s="80"/>
      <c r="P207" s="80"/>
      <c r="Q207" s="80"/>
      <c r="R207" s="80"/>
      <c r="S207" s="80"/>
      <c r="T207" s="80"/>
      <c r="U207" s="80"/>
      <c r="V207" s="80"/>
      <c r="W207" s="80"/>
      <c r="X207" s="80"/>
      <c r="Y207" s="80"/>
      <c r="Z207" s="80"/>
      <c r="AA207" s="80"/>
      <c r="AB207" s="80"/>
      <c r="AC207" s="80"/>
    </row>
    <row r="208" spans="1:29" ht="15.75" hidden="1" customHeight="1" x14ac:dyDescent="0.25">
      <c r="A208" s="80"/>
      <c r="B208" s="80"/>
      <c r="C208" s="80"/>
      <c r="D208" s="80"/>
      <c r="E208" s="80"/>
      <c r="F208" s="80"/>
      <c r="G208" s="80"/>
      <c r="H208" s="117"/>
      <c r="I208" s="80"/>
      <c r="J208" s="80"/>
      <c r="K208" s="80"/>
      <c r="L208" s="80"/>
      <c r="M208" s="80"/>
      <c r="N208" s="80"/>
      <c r="O208" s="80"/>
      <c r="P208" s="80"/>
      <c r="Q208" s="80"/>
      <c r="R208" s="80"/>
      <c r="S208" s="80"/>
      <c r="T208" s="80"/>
      <c r="U208" s="80"/>
      <c r="V208" s="80"/>
      <c r="W208" s="80"/>
      <c r="X208" s="80"/>
      <c r="Y208" s="80"/>
      <c r="Z208" s="80"/>
      <c r="AA208" s="80"/>
      <c r="AB208" s="80"/>
      <c r="AC208" s="80"/>
    </row>
    <row r="209" spans="1:29" ht="15.75" hidden="1" customHeight="1" x14ac:dyDescent="0.25">
      <c r="A209" s="80"/>
      <c r="B209" s="80"/>
      <c r="C209" s="80"/>
      <c r="D209" s="80"/>
      <c r="E209" s="80"/>
      <c r="F209" s="80"/>
      <c r="G209" s="80"/>
      <c r="H209" s="117"/>
      <c r="I209" s="80"/>
      <c r="J209" s="80"/>
      <c r="K209" s="80"/>
      <c r="L209" s="80"/>
      <c r="M209" s="80"/>
      <c r="N209" s="80"/>
      <c r="O209" s="80"/>
      <c r="P209" s="80"/>
      <c r="Q209" s="80"/>
      <c r="R209" s="80"/>
      <c r="S209" s="80"/>
      <c r="T209" s="80"/>
      <c r="U209" s="80"/>
      <c r="V209" s="80"/>
      <c r="W209" s="80"/>
      <c r="X209" s="80"/>
      <c r="Y209" s="80"/>
      <c r="Z209" s="80"/>
      <c r="AA209" s="80"/>
      <c r="AB209" s="80"/>
      <c r="AC209" s="80"/>
    </row>
    <row r="210" spans="1:29" ht="15.75" hidden="1" customHeight="1" x14ac:dyDescent="0.25">
      <c r="A210" s="80"/>
      <c r="B210" s="80"/>
      <c r="C210" s="80"/>
      <c r="D210" s="80"/>
      <c r="E210" s="80"/>
      <c r="F210" s="80"/>
      <c r="G210" s="80"/>
      <c r="H210" s="117"/>
      <c r="I210" s="80"/>
      <c r="J210" s="80"/>
      <c r="K210" s="80"/>
      <c r="L210" s="80"/>
      <c r="M210" s="80"/>
      <c r="N210" s="80"/>
      <c r="O210" s="80"/>
      <c r="P210" s="80"/>
      <c r="Q210" s="80"/>
      <c r="R210" s="80"/>
      <c r="S210" s="80"/>
      <c r="T210" s="80"/>
      <c r="U210" s="80"/>
      <c r="V210" s="80"/>
      <c r="W210" s="80"/>
      <c r="X210" s="80"/>
      <c r="Y210" s="80"/>
      <c r="Z210" s="80"/>
      <c r="AA210" s="80"/>
      <c r="AB210" s="80"/>
      <c r="AC210" s="80"/>
    </row>
    <row r="211" spans="1:29" ht="15.75" hidden="1" customHeight="1" x14ac:dyDescent="0.25">
      <c r="A211" s="80"/>
      <c r="B211" s="80"/>
      <c r="C211" s="80"/>
      <c r="D211" s="80"/>
      <c r="E211" s="80"/>
      <c r="F211" s="80"/>
      <c r="G211" s="80"/>
      <c r="H211" s="117"/>
      <c r="I211" s="80"/>
      <c r="J211" s="80"/>
      <c r="K211" s="80"/>
      <c r="L211" s="80"/>
      <c r="M211" s="80"/>
      <c r="N211" s="80"/>
      <c r="O211" s="80"/>
      <c r="P211" s="80"/>
      <c r="Q211" s="80"/>
      <c r="R211" s="80"/>
      <c r="S211" s="80"/>
      <c r="T211" s="80"/>
      <c r="U211" s="80"/>
      <c r="V211" s="80"/>
      <c r="W211" s="80"/>
      <c r="X211" s="80"/>
      <c r="Y211" s="80"/>
      <c r="Z211" s="80"/>
      <c r="AA211" s="80"/>
      <c r="AB211" s="80"/>
      <c r="AC211" s="80"/>
    </row>
    <row r="212" spans="1:29" ht="15.75" hidden="1" customHeight="1" x14ac:dyDescent="0.25">
      <c r="A212" s="80"/>
      <c r="B212" s="80"/>
      <c r="C212" s="80"/>
      <c r="D212" s="80"/>
      <c r="E212" s="80"/>
      <c r="F212" s="80"/>
      <c r="G212" s="80"/>
      <c r="H212" s="117"/>
      <c r="I212" s="80"/>
      <c r="J212" s="80"/>
      <c r="K212" s="80"/>
      <c r="L212" s="80"/>
      <c r="M212" s="80"/>
      <c r="N212" s="80"/>
      <c r="O212" s="80"/>
      <c r="P212" s="80"/>
      <c r="Q212" s="80"/>
      <c r="R212" s="80"/>
      <c r="S212" s="80"/>
      <c r="T212" s="80"/>
      <c r="U212" s="80"/>
      <c r="V212" s="80"/>
      <c r="W212" s="80"/>
      <c r="X212" s="80"/>
      <c r="Y212" s="80"/>
      <c r="Z212" s="80"/>
      <c r="AA212" s="80"/>
      <c r="AB212" s="80"/>
      <c r="AC212" s="80"/>
    </row>
    <row r="213" spans="1:29" ht="15.75" hidden="1" customHeight="1" x14ac:dyDescent="0.25">
      <c r="A213" s="80"/>
      <c r="B213" s="80"/>
      <c r="C213" s="80"/>
      <c r="D213" s="80"/>
      <c r="E213" s="80"/>
      <c r="F213" s="80"/>
      <c r="G213" s="80"/>
      <c r="H213" s="117"/>
      <c r="I213" s="80"/>
      <c r="J213" s="80"/>
      <c r="K213" s="80"/>
      <c r="L213" s="80"/>
      <c r="M213" s="80"/>
      <c r="N213" s="80"/>
      <c r="O213" s="80"/>
      <c r="P213" s="80"/>
      <c r="Q213" s="80"/>
      <c r="R213" s="80"/>
      <c r="S213" s="80"/>
      <c r="T213" s="80"/>
      <c r="U213" s="80"/>
      <c r="V213" s="80"/>
      <c r="W213" s="80"/>
      <c r="X213" s="80"/>
      <c r="Y213" s="80"/>
      <c r="Z213" s="80"/>
      <c r="AA213" s="80"/>
      <c r="AB213" s="80"/>
      <c r="AC213" s="80"/>
    </row>
    <row r="214" spans="1:29" ht="15.75" hidden="1" customHeight="1" x14ac:dyDescent="0.25">
      <c r="A214" s="80"/>
      <c r="B214" s="80"/>
      <c r="C214" s="80"/>
      <c r="D214" s="80"/>
      <c r="E214" s="80"/>
      <c r="F214" s="80"/>
      <c r="G214" s="80"/>
      <c r="H214" s="117"/>
      <c r="I214" s="80"/>
      <c r="J214" s="80"/>
      <c r="K214" s="80"/>
      <c r="L214" s="80"/>
      <c r="M214" s="80"/>
      <c r="N214" s="80"/>
      <c r="O214" s="80"/>
      <c r="P214" s="80"/>
      <c r="Q214" s="80"/>
      <c r="R214" s="80"/>
      <c r="S214" s="80"/>
      <c r="T214" s="80"/>
      <c r="U214" s="80"/>
      <c r="V214" s="80"/>
      <c r="W214" s="80"/>
      <c r="X214" s="80"/>
      <c r="Y214" s="80"/>
      <c r="Z214" s="80"/>
      <c r="AA214" s="80"/>
      <c r="AB214" s="80"/>
      <c r="AC214" s="80"/>
    </row>
    <row r="215" spans="1:29" ht="15.75" hidden="1" customHeight="1" x14ac:dyDescent="0.25">
      <c r="A215" s="80"/>
      <c r="B215" s="80"/>
      <c r="C215" s="80"/>
      <c r="D215" s="80"/>
      <c r="E215" s="80"/>
      <c r="F215" s="80"/>
      <c r="G215" s="80"/>
      <c r="H215" s="117"/>
      <c r="I215" s="80"/>
      <c r="J215" s="80"/>
      <c r="K215" s="80"/>
      <c r="L215" s="80"/>
      <c r="M215" s="80"/>
      <c r="N215" s="80"/>
      <c r="O215" s="80"/>
      <c r="P215" s="80"/>
      <c r="Q215" s="80"/>
      <c r="R215" s="80"/>
      <c r="S215" s="80"/>
      <c r="T215" s="80"/>
      <c r="U215" s="80"/>
      <c r="V215" s="80"/>
      <c r="W215" s="80"/>
      <c r="X215" s="80"/>
      <c r="Y215" s="80"/>
      <c r="Z215" s="80"/>
      <c r="AA215" s="80"/>
      <c r="AB215" s="80"/>
      <c r="AC215" s="80"/>
    </row>
    <row r="216" spans="1:29" ht="15.75" hidden="1" customHeight="1" x14ac:dyDescent="0.25">
      <c r="A216" s="80"/>
      <c r="B216" s="80"/>
      <c r="C216" s="80"/>
      <c r="D216" s="80"/>
      <c r="E216" s="80"/>
      <c r="F216" s="80"/>
      <c r="G216" s="80"/>
      <c r="H216" s="117"/>
      <c r="I216" s="80"/>
      <c r="J216" s="80"/>
      <c r="K216" s="80"/>
      <c r="L216" s="80"/>
      <c r="M216" s="80"/>
      <c r="N216" s="80"/>
      <c r="O216" s="80"/>
      <c r="P216" s="80"/>
      <c r="Q216" s="80"/>
      <c r="R216" s="80"/>
      <c r="S216" s="80"/>
      <c r="T216" s="80"/>
      <c r="U216" s="80"/>
      <c r="V216" s="80"/>
      <c r="W216" s="80"/>
      <c r="X216" s="80"/>
      <c r="Y216" s="80"/>
      <c r="Z216" s="80"/>
      <c r="AA216" s="80"/>
      <c r="AB216" s="80"/>
      <c r="AC216" s="80"/>
    </row>
    <row r="217" spans="1:29" ht="15.75" hidden="1" customHeight="1" x14ac:dyDescent="0.25">
      <c r="A217" s="80"/>
      <c r="B217" s="80"/>
      <c r="C217" s="80"/>
      <c r="D217" s="80"/>
      <c r="E217" s="80"/>
      <c r="F217" s="80"/>
      <c r="G217" s="80"/>
      <c r="H217" s="117"/>
      <c r="I217" s="80"/>
      <c r="J217" s="80"/>
      <c r="K217" s="80"/>
      <c r="L217" s="80"/>
      <c r="M217" s="80"/>
      <c r="N217" s="80"/>
      <c r="O217" s="80"/>
      <c r="P217" s="80"/>
      <c r="Q217" s="80"/>
      <c r="R217" s="80"/>
      <c r="S217" s="80"/>
      <c r="T217" s="80"/>
      <c r="U217" s="80"/>
      <c r="V217" s="80"/>
      <c r="W217" s="80"/>
      <c r="X217" s="80"/>
      <c r="Y217" s="80"/>
      <c r="Z217" s="80"/>
      <c r="AA217" s="80"/>
      <c r="AB217" s="80"/>
      <c r="AC217" s="80"/>
    </row>
    <row r="218" spans="1:29" ht="15.75" hidden="1" customHeight="1" x14ac:dyDescent="0.25">
      <c r="A218" s="80"/>
      <c r="B218" s="80"/>
      <c r="C218" s="80"/>
      <c r="D218" s="80"/>
      <c r="E218" s="80"/>
      <c r="F218" s="80"/>
      <c r="G218" s="80"/>
      <c r="H218" s="117"/>
      <c r="I218" s="80"/>
      <c r="J218" s="80"/>
      <c r="K218" s="80"/>
      <c r="L218" s="80"/>
      <c r="M218" s="80"/>
      <c r="N218" s="80"/>
      <c r="O218" s="80"/>
      <c r="P218" s="80"/>
      <c r="Q218" s="80"/>
      <c r="R218" s="80"/>
      <c r="S218" s="80"/>
      <c r="T218" s="80"/>
      <c r="U218" s="80"/>
      <c r="V218" s="80"/>
      <c r="W218" s="80"/>
      <c r="X218" s="80"/>
      <c r="Y218" s="80"/>
      <c r="Z218" s="80"/>
      <c r="AA218" s="80"/>
      <c r="AB218" s="80"/>
      <c r="AC218" s="80"/>
    </row>
    <row r="219" spans="1:29" ht="15.75" hidden="1" customHeight="1" x14ac:dyDescent="0.25">
      <c r="A219" s="80"/>
      <c r="B219" s="80"/>
      <c r="C219" s="80"/>
      <c r="D219" s="80"/>
      <c r="E219" s="80"/>
      <c r="F219" s="80"/>
      <c r="G219" s="80"/>
      <c r="H219" s="117"/>
      <c r="I219" s="80"/>
      <c r="J219" s="80"/>
      <c r="K219" s="80"/>
      <c r="L219" s="80"/>
      <c r="M219" s="80"/>
      <c r="N219" s="80"/>
      <c r="O219" s="80"/>
      <c r="P219" s="80"/>
      <c r="Q219" s="80"/>
      <c r="R219" s="80"/>
      <c r="S219" s="80"/>
      <c r="T219" s="80"/>
      <c r="U219" s="80"/>
      <c r="V219" s="80"/>
      <c r="W219" s="80"/>
      <c r="X219" s="80"/>
      <c r="Y219" s="80"/>
      <c r="Z219" s="80"/>
      <c r="AA219" s="80"/>
      <c r="AB219" s="80"/>
      <c r="AC219" s="80"/>
    </row>
    <row r="220" spans="1:29" ht="15.75" hidden="1" customHeight="1" x14ac:dyDescent="0.25">
      <c r="A220" s="80"/>
      <c r="B220" s="80"/>
      <c r="C220" s="80"/>
      <c r="D220" s="80"/>
      <c r="E220" s="80"/>
      <c r="F220" s="80"/>
      <c r="G220" s="80"/>
      <c r="H220" s="117"/>
      <c r="I220" s="80"/>
      <c r="J220" s="80"/>
      <c r="K220" s="80"/>
      <c r="L220" s="80"/>
      <c r="M220" s="80"/>
      <c r="N220" s="80"/>
      <c r="O220" s="80"/>
      <c r="P220" s="80"/>
      <c r="Q220" s="80"/>
      <c r="R220" s="80"/>
      <c r="S220" s="80"/>
      <c r="T220" s="80"/>
      <c r="U220" s="80"/>
      <c r="V220" s="80"/>
      <c r="W220" s="80"/>
      <c r="X220" s="80"/>
      <c r="Y220" s="80"/>
      <c r="Z220" s="80"/>
      <c r="AA220" s="80"/>
      <c r="AB220" s="80"/>
      <c r="AC220" s="80"/>
    </row>
    <row r="221" spans="1:29" ht="15.75" hidden="1" customHeight="1" x14ac:dyDescent="0.25">
      <c r="A221" s="80"/>
      <c r="B221" s="80"/>
      <c r="C221" s="80"/>
      <c r="D221" s="80"/>
      <c r="E221" s="80"/>
      <c r="F221" s="80"/>
      <c r="G221" s="80"/>
      <c r="H221" s="117"/>
      <c r="I221" s="80"/>
      <c r="J221" s="80"/>
      <c r="K221" s="80"/>
      <c r="L221" s="80"/>
      <c r="M221" s="80"/>
      <c r="N221" s="80"/>
      <c r="O221" s="80"/>
      <c r="P221" s="80"/>
      <c r="Q221" s="80"/>
      <c r="R221" s="80"/>
      <c r="S221" s="80"/>
      <c r="T221" s="80"/>
      <c r="U221" s="80"/>
      <c r="V221" s="80"/>
      <c r="W221" s="80"/>
      <c r="X221" s="80"/>
      <c r="Y221" s="80"/>
      <c r="Z221" s="80"/>
      <c r="AA221" s="80"/>
      <c r="AB221" s="80"/>
      <c r="AC221" s="80"/>
    </row>
    <row r="222" spans="1:29" ht="15.75" hidden="1" customHeight="1" x14ac:dyDescent="0.25">
      <c r="A222" s="80"/>
      <c r="B222" s="80"/>
      <c r="C222" s="80"/>
      <c r="D222" s="80"/>
      <c r="E222" s="80"/>
      <c r="F222" s="80"/>
      <c r="G222" s="80"/>
      <c r="H222" s="117"/>
      <c r="I222" s="80"/>
      <c r="J222" s="80"/>
      <c r="K222" s="80"/>
      <c r="L222" s="80"/>
      <c r="M222" s="80"/>
      <c r="N222" s="80"/>
      <c r="O222" s="80"/>
      <c r="P222" s="80"/>
      <c r="Q222" s="80"/>
      <c r="R222" s="80"/>
      <c r="S222" s="80"/>
      <c r="T222" s="80"/>
      <c r="U222" s="80"/>
      <c r="V222" s="80"/>
      <c r="W222" s="80"/>
      <c r="X222" s="80"/>
      <c r="Y222" s="80"/>
      <c r="Z222" s="80"/>
      <c r="AA222" s="80"/>
      <c r="AB222" s="80"/>
      <c r="AC222" s="80"/>
    </row>
    <row r="223" spans="1:29" ht="15.75" hidden="1" customHeight="1" x14ac:dyDescent="0.25">
      <c r="A223" s="80"/>
      <c r="B223" s="80"/>
      <c r="C223" s="80"/>
      <c r="D223" s="80"/>
      <c r="E223" s="80"/>
      <c r="F223" s="80"/>
      <c r="G223" s="80"/>
      <c r="H223" s="117"/>
      <c r="I223" s="80"/>
      <c r="J223" s="80"/>
      <c r="K223" s="80"/>
      <c r="L223" s="80"/>
      <c r="M223" s="80"/>
      <c r="N223" s="80"/>
      <c r="O223" s="80"/>
      <c r="P223" s="80"/>
      <c r="Q223" s="80"/>
      <c r="R223" s="80"/>
      <c r="S223" s="80"/>
      <c r="T223" s="80"/>
      <c r="U223" s="80"/>
      <c r="V223" s="80"/>
      <c r="W223" s="80"/>
      <c r="X223" s="80"/>
      <c r="Y223" s="80"/>
      <c r="Z223" s="80"/>
      <c r="AA223" s="80"/>
      <c r="AB223" s="80"/>
      <c r="AC223" s="80"/>
    </row>
    <row r="224" spans="1:29" ht="15.75" hidden="1" customHeight="1" x14ac:dyDescent="0.25">
      <c r="A224" s="80"/>
      <c r="B224" s="80"/>
      <c r="C224" s="80"/>
      <c r="D224" s="80"/>
      <c r="E224" s="80"/>
      <c r="F224" s="80"/>
      <c r="G224" s="80"/>
      <c r="H224" s="117"/>
      <c r="I224" s="80"/>
      <c r="J224" s="80"/>
      <c r="K224" s="80"/>
      <c r="L224" s="80"/>
      <c r="M224" s="80"/>
      <c r="N224" s="80"/>
      <c r="O224" s="80"/>
      <c r="P224" s="80"/>
      <c r="Q224" s="80"/>
      <c r="R224" s="80"/>
      <c r="S224" s="80"/>
      <c r="T224" s="80"/>
      <c r="U224" s="80"/>
      <c r="V224" s="80"/>
      <c r="W224" s="80"/>
      <c r="X224" s="80"/>
      <c r="Y224" s="80"/>
      <c r="Z224" s="80"/>
      <c r="AA224" s="80"/>
      <c r="AB224" s="80"/>
      <c r="AC224" s="80"/>
    </row>
    <row r="225" spans="1:29" ht="15.75" hidden="1" customHeight="1" x14ac:dyDescent="0.25">
      <c r="A225" s="80"/>
      <c r="B225" s="80"/>
      <c r="C225" s="80"/>
      <c r="D225" s="80"/>
      <c r="E225" s="80"/>
      <c r="F225" s="80"/>
      <c r="G225" s="80"/>
      <c r="H225" s="117"/>
      <c r="I225" s="80"/>
      <c r="J225" s="80"/>
      <c r="K225" s="80"/>
      <c r="L225" s="80"/>
      <c r="M225" s="80"/>
      <c r="N225" s="80"/>
      <c r="O225" s="80"/>
      <c r="P225" s="80"/>
      <c r="Q225" s="80"/>
      <c r="R225" s="80"/>
      <c r="S225" s="80"/>
      <c r="T225" s="80"/>
      <c r="U225" s="80"/>
      <c r="V225" s="80"/>
      <c r="W225" s="80"/>
      <c r="X225" s="80"/>
      <c r="Y225" s="80"/>
      <c r="Z225" s="80"/>
      <c r="AA225" s="80"/>
      <c r="AB225" s="80"/>
      <c r="AC225" s="80"/>
    </row>
    <row r="226" spans="1:29" ht="15.75" hidden="1" customHeight="1" x14ac:dyDescent="0.25">
      <c r="A226" s="80"/>
      <c r="B226" s="80"/>
      <c r="C226" s="80"/>
      <c r="D226" s="80"/>
      <c r="E226" s="80"/>
      <c r="F226" s="80"/>
      <c r="G226" s="80"/>
      <c r="H226" s="117"/>
      <c r="I226" s="80"/>
      <c r="J226" s="80"/>
      <c r="K226" s="80"/>
      <c r="L226" s="80"/>
      <c r="M226" s="80"/>
      <c r="N226" s="80"/>
      <c r="O226" s="80"/>
      <c r="P226" s="80"/>
      <c r="Q226" s="80"/>
      <c r="R226" s="80"/>
      <c r="S226" s="80"/>
      <c r="T226" s="80"/>
      <c r="U226" s="80"/>
      <c r="V226" s="80"/>
      <c r="W226" s="80"/>
      <c r="X226" s="80"/>
      <c r="Y226" s="80"/>
      <c r="Z226" s="80"/>
      <c r="AA226" s="80"/>
      <c r="AB226" s="80"/>
      <c r="AC226" s="80"/>
    </row>
    <row r="227" spans="1:29" ht="15.75" hidden="1" customHeight="1" x14ac:dyDescent="0.25">
      <c r="A227" s="80"/>
      <c r="B227" s="80"/>
      <c r="C227" s="80"/>
      <c r="D227" s="80"/>
      <c r="E227" s="80"/>
      <c r="F227" s="80"/>
      <c r="G227" s="80"/>
      <c r="H227" s="117"/>
      <c r="I227" s="80"/>
      <c r="J227" s="80"/>
      <c r="K227" s="80"/>
      <c r="L227" s="80"/>
      <c r="M227" s="80"/>
      <c r="N227" s="80"/>
      <c r="O227" s="80"/>
      <c r="P227" s="80"/>
      <c r="Q227" s="80"/>
      <c r="R227" s="80"/>
      <c r="S227" s="80"/>
      <c r="T227" s="80"/>
      <c r="U227" s="80"/>
      <c r="V227" s="80"/>
      <c r="W227" s="80"/>
      <c r="X227" s="80"/>
      <c r="Y227" s="80"/>
      <c r="Z227" s="80"/>
      <c r="AA227" s="80"/>
      <c r="AB227" s="80"/>
      <c r="AC227" s="80"/>
    </row>
    <row r="228" spans="1:29" ht="15.75" hidden="1" customHeight="1" x14ac:dyDescent="0.25">
      <c r="A228" s="80"/>
      <c r="B228" s="80"/>
      <c r="C228" s="80"/>
      <c r="D228" s="80"/>
      <c r="E228" s="80"/>
      <c r="F228" s="80"/>
      <c r="G228" s="80"/>
      <c r="H228" s="117"/>
      <c r="I228" s="80"/>
      <c r="J228" s="80"/>
      <c r="K228" s="80"/>
      <c r="L228" s="80"/>
      <c r="M228" s="80"/>
      <c r="N228" s="80"/>
      <c r="O228" s="80"/>
      <c r="P228" s="80"/>
      <c r="Q228" s="80"/>
      <c r="R228" s="80"/>
      <c r="S228" s="80"/>
      <c r="T228" s="80"/>
      <c r="U228" s="80"/>
      <c r="V228" s="80"/>
      <c r="W228" s="80"/>
      <c r="X228" s="80"/>
      <c r="Y228" s="80"/>
      <c r="Z228" s="80"/>
      <c r="AA228" s="80"/>
      <c r="AB228" s="80"/>
      <c r="AC228" s="80"/>
    </row>
    <row r="229" spans="1:29" ht="15.75" hidden="1" customHeight="1" x14ac:dyDescent="0.25">
      <c r="A229" s="80"/>
      <c r="B229" s="80"/>
      <c r="C229" s="80"/>
      <c r="D229" s="80"/>
      <c r="E229" s="80"/>
      <c r="F229" s="80"/>
      <c r="G229" s="80"/>
      <c r="H229" s="117"/>
      <c r="I229" s="80"/>
      <c r="J229" s="80"/>
      <c r="K229" s="80"/>
      <c r="L229" s="80"/>
      <c r="M229" s="80"/>
      <c r="N229" s="80"/>
      <c r="O229" s="80"/>
      <c r="P229" s="80"/>
      <c r="Q229" s="80"/>
      <c r="R229" s="80"/>
      <c r="S229" s="80"/>
      <c r="T229" s="80"/>
      <c r="U229" s="80"/>
      <c r="V229" s="80"/>
      <c r="W229" s="80"/>
      <c r="X229" s="80"/>
      <c r="Y229" s="80"/>
      <c r="Z229" s="80"/>
      <c r="AA229" s="80"/>
      <c r="AB229" s="80"/>
      <c r="AC229" s="80"/>
    </row>
    <row r="230" spans="1:29" ht="15.75" hidden="1" customHeight="1" x14ac:dyDescent="0.25">
      <c r="A230" s="80"/>
      <c r="B230" s="80"/>
      <c r="C230" s="80"/>
      <c r="D230" s="80"/>
      <c r="E230" s="80"/>
      <c r="F230" s="80"/>
      <c r="G230" s="80"/>
      <c r="H230" s="117"/>
      <c r="I230" s="80"/>
      <c r="J230" s="80"/>
      <c r="K230" s="80"/>
      <c r="L230" s="80"/>
      <c r="M230" s="80"/>
      <c r="N230" s="80"/>
      <c r="O230" s="80"/>
      <c r="P230" s="80"/>
      <c r="Q230" s="80"/>
      <c r="R230" s="80"/>
      <c r="S230" s="80"/>
      <c r="T230" s="80"/>
      <c r="U230" s="80"/>
      <c r="V230" s="80"/>
      <c r="W230" s="80"/>
      <c r="X230" s="80"/>
      <c r="Y230" s="80"/>
      <c r="Z230" s="80"/>
      <c r="AA230" s="80"/>
      <c r="AB230" s="80"/>
      <c r="AC230" s="80"/>
    </row>
    <row r="231" spans="1:29" ht="15.75" hidden="1" customHeight="1" x14ac:dyDescent="0.25">
      <c r="A231" s="80"/>
      <c r="B231" s="80"/>
      <c r="C231" s="80"/>
      <c r="D231" s="80"/>
      <c r="E231" s="80"/>
      <c r="F231" s="80"/>
      <c r="G231" s="80"/>
      <c r="H231" s="117"/>
      <c r="I231" s="80"/>
      <c r="J231" s="80"/>
      <c r="K231" s="80"/>
      <c r="L231" s="80"/>
      <c r="M231" s="80"/>
      <c r="N231" s="80"/>
      <c r="O231" s="80"/>
      <c r="P231" s="80"/>
      <c r="Q231" s="80"/>
      <c r="R231" s="80"/>
      <c r="S231" s="80"/>
      <c r="T231" s="80"/>
      <c r="U231" s="80"/>
      <c r="V231" s="80"/>
      <c r="W231" s="80"/>
      <c r="X231" s="80"/>
      <c r="Y231" s="80"/>
      <c r="Z231" s="80"/>
      <c r="AA231" s="80"/>
      <c r="AB231" s="80"/>
      <c r="AC231" s="80"/>
    </row>
    <row r="232" spans="1:29" ht="15.75" hidden="1" customHeight="1" x14ac:dyDescent="0.25">
      <c r="A232" s="80"/>
      <c r="B232" s="80"/>
      <c r="C232" s="80"/>
      <c r="D232" s="80"/>
      <c r="E232" s="80"/>
      <c r="F232" s="80"/>
      <c r="G232" s="80"/>
      <c r="H232" s="117"/>
      <c r="I232" s="80"/>
      <c r="J232" s="80"/>
      <c r="K232" s="80"/>
      <c r="L232" s="80"/>
      <c r="M232" s="80"/>
      <c r="N232" s="80"/>
      <c r="O232" s="80"/>
      <c r="P232" s="80"/>
      <c r="Q232" s="80"/>
      <c r="R232" s="80"/>
      <c r="S232" s="80"/>
      <c r="T232" s="80"/>
      <c r="U232" s="80"/>
      <c r="V232" s="80"/>
      <c r="W232" s="80"/>
      <c r="X232" s="80"/>
      <c r="Y232" s="80"/>
      <c r="Z232" s="80"/>
      <c r="AA232" s="80"/>
      <c r="AB232" s="80"/>
      <c r="AC232" s="80"/>
    </row>
    <row r="233" spans="1:29" ht="15.75" hidden="1" customHeight="1" x14ac:dyDescent="0.25">
      <c r="A233" s="80"/>
      <c r="B233" s="80"/>
      <c r="C233" s="80"/>
      <c r="D233" s="80"/>
      <c r="E233" s="80"/>
      <c r="F233" s="80"/>
      <c r="G233" s="80"/>
      <c r="H233" s="117"/>
      <c r="I233" s="80"/>
      <c r="J233" s="80"/>
      <c r="K233" s="80"/>
      <c r="L233" s="80"/>
      <c r="M233" s="80"/>
      <c r="N233" s="80"/>
      <c r="O233" s="80"/>
      <c r="P233" s="80"/>
      <c r="Q233" s="80"/>
      <c r="R233" s="80"/>
      <c r="S233" s="80"/>
      <c r="T233" s="80"/>
      <c r="U233" s="80"/>
      <c r="V233" s="80"/>
      <c r="W233" s="80"/>
      <c r="X233" s="80"/>
      <c r="Y233" s="80"/>
      <c r="Z233" s="80"/>
      <c r="AA233" s="80"/>
      <c r="AB233" s="80"/>
      <c r="AC233" s="80"/>
    </row>
    <row r="234" spans="1:29" ht="15.75" hidden="1" customHeight="1" x14ac:dyDescent="0.25">
      <c r="A234" s="80"/>
      <c r="B234" s="80"/>
      <c r="C234" s="80"/>
      <c r="D234" s="80"/>
      <c r="E234" s="80"/>
      <c r="F234" s="80"/>
      <c r="G234" s="80"/>
      <c r="H234" s="117"/>
      <c r="I234" s="80"/>
      <c r="J234" s="80"/>
      <c r="K234" s="80"/>
      <c r="L234" s="80"/>
      <c r="M234" s="80"/>
      <c r="N234" s="80"/>
      <c r="O234" s="80"/>
      <c r="P234" s="80"/>
      <c r="Q234" s="80"/>
      <c r="R234" s="80"/>
      <c r="S234" s="80"/>
      <c r="T234" s="80"/>
      <c r="U234" s="80"/>
      <c r="V234" s="80"/>
      <c r="W234" s="80"/>
      <c r="X234" s="80"/>
      <c r="Y234" s="80"/>
      <c r="Z234" s="80"/>
      <c r="AA234" s="80"/>
      <c r="AB234" s="80"/>
      <c r="AC234" s="80"/>
    </row>
    <row r="235" spans="1:29" ht="15.75" hidden="1" customHeight="1" x14ac:dyDescent="0.25">
      <c r="A235" s="80"/>
      <c r="B235" s="80"/>
      <c r="C235" s="80"/>
      <c r="D235" s="80"/>
      <c r="E235" s="80"/>
      <c r="F235" s="80"/>
      <c r="G235" s="80"/>
      <c r="H235" s="117"/>
      <c r="I235" s="80"/>
      <c r="J235" s="80"/>
      <c r="K235" s="80"/>
      <c r="L235" s="80"/>
      <c r="M235" s="80"/>
      <c r="N235" s="80"/>
      <c r="O235" s="80"/>
      <c r="P235" s="80"/>
      <c r="Q235" s="80"/>
      <c r="R235" s="80"/>
      <c r="S235" s="80"/>
      <c r="T235" s="80"/>
      <c r="U235" s="80"/>
      <c r="V235" s="80"/>
      <c r="W235" s="80"/>
      <c r="X235" s="80"/>
      <c r="Y235" s="80"/>
      <c r="Z235" s="80"/>
      <c r="AA235" s="80"/>
      <c r="AB235" s="80"/>
      <c r="AC235" s="80"/>
    </row>
    <row r="236" spans="1:29" ht="15.75" hidden="1" customHeight="1" x14ac:dyDescent="0.25">
      <c r="A236" s="80"/>
      <c r="B236" s="80"/>
      <c r="C236" s="80"/>
      <c r="D236" s="80"/>
      <c r="E236" s="80"/>
      <c r="F236" s="80"/>
      <c r="G236" s="80"/>
      <c r="H236" s="117"/>
      <c r="I236" s="80"/>
      <c r="J236" s="80"/>
      <c r="K236" s="80"/>
      <c r="L236" s="80"/>
      <c r="M236" s="80"/>
      <c r="N236" s="80"/>
      <c r="O236" s="80"/>
      <c r="P236" s="80"/>
      <c r="Q236" s="80"/>
      <c r="R236" s="80"/>
      <c r="S236" s="80"/>
      <c r="T236" s="80"/>
      <c r="U236" s="80"/>
      <c r="V236" s="80"/>
      <c r="W236" s="80"/>
      <c r="X236" s="80"/>
      <c r="Y236" s="80"/>
      <c r="Z236" s="80"/>
      <c r="AA236" s="80"/>
      <c r="AB236" s="80"/>
      <c r="AC236" s="80"/>
    </row>
    <row r="237" spans="1:29" ht="15.75" hidden="1" customHeight="1" x14ac:dyDescent="0.25">
      <c r="A237" s="80"/>
      <c r="B237" s="80"/>
      <c r="C237" s="80"/>
      <c r="D237" s="80"/>
      <c r="E237" s="80"/>
      <c r="F237" s="80"/>
      <c r="G237" s="80"/>
      <c r="H237" s="117"/>
      <c r="I237" s="80"/>
      <c r="J237" s="80"/>
      <c r="K237" s="80"/>
      <c r="L237" s="80"/>
      <c r="M237" s="80"/>
      <c r="N237" s="80"/>
      <c r="O237" s="80"/>
      <c r="P237" s="80"/>
      <c r="Q237" s="80"/>
      <c r="R237" s="80"/>
      <c r="S237" s="80"/>
      <c r="T237" s="80"/>
      <c r="U237" s="80"/>
      <c r="V237" s="80"/>
      <c r="W237" s="80"/>
      <c r="X237" s="80"/>
      <c r="Y237" s="80"/>
      <c r="Z237" s="80"/>
      <c r="AA237" s="80"/>
      <c r="AB237" s="80"/>
      <c r="AC237" s="80"/>
    </row>
    <row r="238" spans="1:29" ht="15.75" hidden="1" customHeight="1" x14ac:dyDescent="0.25">
      <c r="A238" s="80"/>
      <c r="B238" s="80"/>
      <c r="C238" s="80"/>
      <c r="D238" s="80"/>
      <c r="E238" s="80"/>
      <c r="F238" s="80"/>
      <c r="G238" s="80"/>
      <c r="H238" s="117"/>
      <c r="I238" s="80"/>
      <c r="J238" s="80"/>
      <c r="K238" s="80"/>
      <c r="L238" s="80"/>
      <c r="M238" s="80"/>
      <c r="N238" s="80"/>
      <c r="O238" s="80"/>
      <c r="P238" s="80"/>
      <c r="Q238" s="80"/>
      <c r="R238" s="80"/>
      <c r="S238" s="80"/>
      <c r="T238" s="80"/>
      <c r="U238" s="80"/>
      <c r="V238" s="80"/>
      <c r="W238" s="80"/>
      <c r="X238" s="80"/>
      <c r="Y238" s="80"/>
      <c r="Z238" s="80"/>
      <c r="AA238" s="80"/>
      <c r="AB238" s="80"/>
      <c r="AC238" s="80"/>
    </row>
    <row r="239" spans="1:29" ht="15.75" hidden="1" customHeight="1" x14ac:dyDescent="0.25">
      <c r="A239" s="80"/>
      <c r="B239" s="80"/>
      <c r="C239" s="80"/>
      <c r="D239" s="80"/>
      <c r="E239" s="80"/>
      <c r="F239" s="80"/>
      <c r="G239" s="80"/>
      <c r="H239" s="117"/>
      <c r="I239" s="80"/>
      <c r="J239" s="80"/>
      <c r="K239" s="80"/>
      <c r="L239" s="80"/>
      <c r="M239" s="80"/>
      <c r="N239" s="80"/>
      <c r="O239" s="80"/>
      <c r="P239" s="80"/>
      <c r="Q239" s="80"/>
      <c r="R239" s="80"/>
      <c r="S239" s="80"/>
      <c r="T239" s="80"/>
      <c r="U239" s="80"/>
      <c r="V239" s="80"/>
      <c r="W239" s="80"/>
      <c r="X239" s="80"/>
      <c r="Y239" s="80"/>
      <c r="Z239" s="80"/>
      <c r="AA239" s="80"/>
      <c r="AB239" s="80"/>
      <c r="AC239" s="80"/>
    </row>
    <row r="240" spans="1:29" ht="15.75" hidden="1" customHeight="1" x14ac:dyDescent="0.25">
      <c r="A240" s="80"/>
      <c r="B240" s="80"/>
      <c r="C240" s="80"/>
      <c r="D240" s="80"/>
      <c r="E240" s="80"/>
      <c r="F240" s="80"/>
      <c r="G240" s="80"/>
      <c r="H240" s="117"/>
      <c r="I240" s="80"/>
      <c r="J240" s="80"/>
      <c r="K240" s="80"/>
      <c r="L240" s="80"/>
      <c r="M240" s="80"/>
      <c r="N240" s="80"/>
      <c r="O240" s="80"/>
      <c r="P240" s="80"/>
      <c r="Q240" s="80"/>
      <c r="R240" s="80"/>
      <c r="S240" s="80"/>
      <c r="T240" s="80"/>
      <c r="U240" s="80"/>
      <c r="V240" s="80"/>
      <c r="W240" s="80"/>
      <c r="X240" s="80"/>
      <c r="Y240" s="80"/>
      <c r="Z240" s="80"/>
      <c r="AA240" s="80"/>
      <c r="AB240" s="80"/>
      <c r="AC240" s="80"/>
    </row>
    <row r="241" spans="1:29" ht="15.75" hidden="1" customHeight="1" x14ac:dyDescent="0.25">
      <c r="A241" s="80"/>
      <c r="B241" s="80"/>
      <c r="C241" s="80"/>
      <c r="D241" s="80"/>
      <c r="E241" s="80"/>
      <c r="F241" s="80"/>
      <c r="G241" s="80"/>
      <c r="H241" s="117"/>
      <c r="I241" s="80"/>
      <c r="J241" s="80"/>
      <c r="K241" s="80"/>
      <c r="L241" s="80"/>
      <c r="M241" s="80"/>
      <c r="N241" s="80"/>
      <c r="O241" s="80"/>
      <c r="P241" s="80"/>
      <c r="Q241" s="80"/>
      <c r="R241" s="80"/>
      <c r="S241" s="80"/>
      <c r="T241" s="80"/>
      <c r="U241" s="80"/>
      <c r="V241" s="80"/>
      <c r="W241" s="80"/>
      <c r="X241" s="80"/>
      <c r="Y241" s="80"/>
      <c r="Z241" s="80"/>
      <c r="AA241" s="80"/>
      <c r="AB241" s="80"/>
      <c r="AC241" s="80"/>
    </row>
    <row r="242" spans="1:29" ht="15.75" hidden="1" customHeight="1" x14ac:dyDescent="0.25">
      <c r="A242" s="80"/>
      <c r="B242" s="80"/>
      <c r="C242" s="80"/>
      <c r="D242" s="80"/>
      <c r="E242" s="80"/>
      <c r="F242" s="80"/>
      <c r="G242" s="80"/>
      <c r="H242" s="117"/>
      <c r="I242" s="80"/>
      <c r="J242" s="80"/>
      <c r="K242" s="80"/>
      <c r="L242" s="80"/>
      <c r="M242" s="80"/>
      <c r="N242" s="80"/>
      <c r="O242" s="80"/>
      <c r="P242" s="80"/>
      <c r="Q242" s="80"/>
      <c r="R242" s="80"/>
      <c r="S242" s="80"/>
      <c r="T242" s="80"/>
      <c r="U242" s="80"/>
      <c r="V242" s="80"/>
      <c r="W242" s="80"/>
      <c r="X242" s="80"/>
      <c r="Y242" s="80"/>
      <c r="Z242" s="80"/>
      <c r="AA242" s="80"/>
      <c r="AB242" s="80"/>
      <c r="AC242" s="80"/>
    </row>
    <row r="243" spans="1:29" ht="15.75" hidden="1" customHeight="1" x14ac:dyDescent="0.25">
      <c r="A243" s="80"/>
      <c r="B243" s="80"/>
      <c r="C243" s="80"/>
      <c r="D243" s="80"/>
      <c r="E243" s="80"/>
      <c r="F243" s="80"/>
      <c r="G243" s="80"/>
      <c r="H243" s="117"/>
      <c r="I243" s="80"/>
      <c r="J243" s="80"/>
      <c r="K243" s="80"/>
      <c r="L243" s="80"/>
      <c r="M243" s="80"/>
      <c r="N243" s="80"/>
      <c r="O243" s="80"/>
      <c r="P243" s="80"/>
      <c r="Q243" s="80"/>
      <c r="R243" s="80"/>
      <c r="S243" s="80"/>
      <c r="T243" s="80"/>
      <c r="U243" s="80"/>
      <c r="V243" s="80"/>
      <c r="W243" s="80"/>
      <c r="X243" s="80"/>
      <c r="Y243" s="80"/>
      <c r="Z243" s="80"/>
      <c r="AA243" s="80"/>
      <c r="AB243" s="80"/>
      <c r="AC243" s="80"/>
    </row>
    <row r="244" spans="1:29" ht="15.75" hidden="1" customHeight="1" x14ac:dyDescent="0.25">
      <c r="A244" s="80"/>
      <c r="B244" s="80"/>
      <c r="C244" s="80"/>
      <c r="D244" s="80"/>
      <c r="E244" s="80"/>
      <c r="F244" s="80"/>
      <c r="G244" s="80"/>
      <c r="H244" s="117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0"/>
      <c r="U244" s="80"/>
      <c r="V244" s="80"/>
      <c r="W244" s="80"/>
      <c r="X244" s="80"/>
      <c r="Y244" s="80"/>
      <c r="Z244" s="80"/>
      <c r="AA244" s="80"/>
      <c r="AB244" s="80"/>
      <c r="AC244" s="80"/>
    </row>
    <row r="245" spans="1:29" ht="15.75" hidden="1" customHeight="1" x14ac:dyDescent="0.25">
      <c r="A245" s="80"/>
      <c r="B245" s="80"/>
      <c r="C245" s="80"/>
      <c r="D245" s="80"/>
      <c r="E245" s="80"/>
      <c r="F245" s="80"/>
      <c r="G245" s="80"/>
      <c r="H245" s="117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0"/>
      <c r="U245" s="80"/>
      <c r="V245" s="80"/>
      <c r="W245" s="80"/>
      <c r="X245" s="80"/>
      <c r="Y245" s="80"/>
      <c r="Z245" s="80"/>
      <c r="AA245" s="80"/>
      <c r="AB245" s="80"/>
      <c r="AC245" s="80"/>
    </row>
    <row r="246" spans="1:29" ht="15.75" hidden="1" customHeight="1" x14ac:dyDescent="0.25">
      <c r="A246" s="80"/>
      <c r="B246" s="80"/>
      <c r="C246" s="80"/>
      <c r="D246" s="80"/>
      <c r="E246" s="80"/>
      <c r="F246" s="80"/>
      <c r="G246" s="80"/>
      <c r="H246" s="117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0"/>
      <c r="U246" s="80"/>
      <c r="V246" s="80"/>
      <c r="W246" s="80"/>
      <c r="X246" s="80"/>
      <c r="Y246" s="80"/>
      <c r="Z246" s="80"/>
      <c r="AA246" s="80"/>
      <c r="AB246" s="80"/>
      <c r="AC246" s="80"/>
    </row>
    <row r="247" spans="1:29" ht="15.75" hidden="1" customHeight="1" x14ac:dyDescent="0.25">
      <c r="A247" s="80"/>
      <c r="B247" s="80"/>
      <c r="C247" s="80"/>
      <c r="D247" s="80"/>
      <c r="E247" s="80"/>
      <c r="F247" s="80"/>
      <c r="G247" s="80"/>
      <c r="H247" s="117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0"/>
      <c r="U247" s="80"/>
      <c r="V247" s="80"/>
      <c r="W247" s="80"/>
      <c r="X247" s="80"/>
      <c r="Y247" s="80"/>
      <c r="Z247" s="80"/>
      <c r="AA247" s="80"/>
      <c r="AB247" s="80"/>
      <c r="AC247" s="80"/>
    </row>
    <row r="248" spans="1:29" ht="15.75" hidden="1" customHeight="1" x14ac:dyDescent="0.25">
      <c r="A248" s="80"/>
      <c r="B248" s="80"/>
      <c r="C248" s="80"/>
      <c r="D248" s="80"/>
      <c r="E248" s="80"/>
      <c r="F248" s="80"/>
      <c r="G248" s="80"/>
      <c r="H248" s="117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0"/>
      <c r="U248" s="80"/>
      <c r="V248" s="80"/>
      <c r="W248" s="80"/>
      <c r="X248" s="80"/>
      <c r="Y248" s="80"/>
      <c r="Z248" s="80"/>
      <c r="AA248" s="80"/>
      <c r="AB248" s="80"/>
      <c r="AC248" s="80"/>
    </row>
    <row r="249" spans="1:29" ht="15.75" hidden="1" customHeight="1" x14ac:dyDescent="0.25">
      <c r="A249" s="80"/>
      <c r="B249" s="80"/>
      <c r="C249" s="80"/>
      <c r="D249" s="80"/>
      <c r="E249" s="80"/>
      <c r="F249" s="80"/>
      <c r="G249" s="80"/>
      <c r="H249" s="117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0"/>
      <c r="U249" s="80"/>
      <c r="V249" s="80"/>
      <c r="W249" s="80"/>
      <c r="X249" s="80"/>
      <c r="Y249" s="80"/>
      <c r="Z249" s="80"/>
      <c r="AA249" s="80"/>
      <c r="AB249" s="80"/>
      <c r="AC249" s="80"/>
    </row>
    <row r="250" spans="1:29" ht="15.75" hidden="1" customHeight="1" x14ac:dyDescent="0.25">
      <c r="A250" s="80"/>
      <c r="B250" s="80"/>
      <c r="C250" s="80"/>
      <c r="D250" s="80"/>
      <c r="E250" s="80"/>
      <c r="F250" s="80"/>
      <c r="G250" s="80"/>
      <c r="H250" s="117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0"/>
      <c r="U250" s="80"/>
      <c r="V250" s="80"/>
      <c r="W250" s="80"/>
      <c r="X250" s="80"/>
      <c r="Y250" s="80"/>
      <c r="Z250" s="80"/>
      <c r="AA250" s="80"/>
      <c r="AB250" s="80"/>
      <c r="AC250" s="80"/>
    </row>
    <row r="251" spans="1:29" ht="15.75" hidden="1" customHeight="1" x14ac:dyDescent="0.25">
      <c r="A251" s="80"/>
      <c r="B251" s="80"/>
      <c r="C251" s="80"/>
      <c r="D251" s="80"/>
      <c r="E251" s="80"/>
      <c r="F251" s="80"/>
      <c r="G251" s="80"/>
      <c r="H251" s="117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0"/>
      <c r="U251" s="80"/>
      <c r="V251" s="80"/>
      <c r="W251" s="80"/>
      <c r="X251" s="80"/>
      <c r="Y251" s="80"/>
      <c r="Z251" s="80"/>
      <c r="AA251" s="80"/>
      <c r="AB251" s="80"/>
      <c r="AC251" s="80"/>
    </row>
    <row r="252" spans="1:29" ht="15.75" hidden="1" customHeight="1" x14ac:dyDescent="0.25">
      <c r="A252" s="80"/>
      <c r="B252" s="80"/>
      <c r="C252" s="80"/>
      <c r="D252" s="80"/>
      <c r="E252" s="80"/>
      <c r="F252" s="80"/>
      <c r="G252" s="80"/>
      <c r="H252" s="117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0"/>
      <c r="U252" s="80"/>
      <c r="V252" s="80"/>
      <c r="W252" s="80"/>
      <c r="X252" s="80"/>
      <c r="Y252" s="80"/>
      <c r="Z252" s="80"/>
      <c r="AA252" s="80"/>
      <c r="AB252" s="80"/>
      <c r="AC252" s="80"/>
    </row>
    <row r="253" spans="1:29" ht="15.75" hidden="1" customHeight="1" x14ac:dyDescent="0.25">
      <c r="A253" s="80"/>
      <c r="B253" s="80"/>
      <c r="C253" s="80"/>
      <c r="D253" s="80"/>
      <c r="E253" s="80"/>
      <c r="F253" s="80"/>
      <c r="G253" s="80"/>
      <c r="H253" s="117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0"/>
      <c r="U253" s="80"/>
      <c r="V253" s="80"/>
      <c r="W253" s="80"/>
      <c r="X253" s="80"/>
      <c r="Y253" s="80"/>
      <c r="Z253" s="80"/>
      <c r="AA253" s="80"/>
      <c r="AB253" s="80"/>
      <c r="AC253" s="80"/>
    </row>
    <row r="254" spans="1:29" ht="15.75" hidden="1" customHeight="1" x14ac:dyDescent="0.25">
      <c r="A254" s="80"/>
      <c r="B254" s="80"/>
      <c r="C254" s="80"/>
      <c r="D254" s="80"/>
      <c r="E254" s="80"/>
      <c r="F254" s="80"/>
      <c r="G254" s="80"/>
      <c r="H254" s="117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0"/>
      <c r="U254" s="80"/>
      <c r="V254" s="80"/>
      <c r="W254" s="80"/>
      <c r="X254" s="80"/>
      <c r="Y254" s="80"/>
      <c r="Z254" s="80"/>
      <c r="AA254" s="80"/>
      <c r="AB254" s="80"/>
      <c r="AC254" s="80"/>
    </row>
    <row r="255" spans="1:29" ht="15.75" hidden="1" customHeight="1" x14ac:dyDescent="0.25">
      <c r="A255" s="80"/>
      <c r="B255" s="80"/>
      <c r="C255" s="80"/>
      <c r="D255" s="80"/>
      <c r="E255" s="80"/>
      <c r="F255" s="80"/>
      <c r="G255" s="80"/>
      <c r="H255" s="117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0"/>
      <c r="U255" s="80"/>
      <c r="V255" s="80"/>
      <c r="W255" s="80"/>
      <c r="X255" s="80"/>
      <c r="Y255" s="80"/>
      <c r="Z255" s="80"/>
      <c r="AA255" s="80"/>
      <c r="AB255" s="80"/>
      <c r="AC255" s="80"/>
    </row>
    <row r="256" spans="1:29" ht="15.75" hidden="1" customHeight="1" x14ac:dyDescent="0.25">
      <c r="A256" s="80"/>
      <c r="B256" s="80"/>
      <c r="C256" s="80"/>
      <c r="D256" s="80"/>
      <c r="E256" s="80"/>
      <c r="F256" s="80"/>
      <c r="G256" s="80"/>
      <c r="H256" s="117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0"/>
      <c r="U256" s="80"/>
      <c r="V256" s="80"/>
      <c r="W256" s="80"/>
      <c r="X256" s="80"/>
      <c r="Y256" s="80"/>
      <c r="Z256" s="80"/>
      <c r="AA256" s="80"/>
      <c r="AB256" s="80"/>
      <c r="AC256" s="80"/>
    </row>
    <row r="257" spans="1:29" ht="15.75" hidden="1" customHeight="1" x14ac:dyDescent="0.25">
      <c r="A257" s="80"/>
      <c r="B257" s="80"/>
      <c r="C257" s="80"/>
      <c r="D257" s="80"/>
      <c r="E257" s="80"/>
      <c r="F257" s="80"/>
      <c r="G257" s="80"/>
      <c r="H257" s="117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0"/>
      <c r="U257" s="80"/>
      <c r="V257" s="80"/>
      <c r="W257" s="80"/>
      <c r="X257" s="80"/>
      <c r="Y257" s="80"/>
      <c r="Z257" s="80"/>
      <c r="AA257" s="80"/>
      <c r="AB257" s="80"/>
      <c r="AC257" s="80"/>
    </row>
    <row r="258" spans="1:29" ht="15.75" hidden="1" customHeight="1" x14ac:dyDescent="0.25">
      <c r="A258" s="80"/>
      <c r="B258" s="80"/>
      <c r="C258" s="80"/>
      <c r="D258" s="80"/>
      <c r="E258" s="80"/>
      <c r="F258" s="80"/>
      <c r="G258" s="80"/>
      <c r="H258" s="117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0"/>
      <c r="U258" s="80"/>
      <c r="V258" s="80"/>
      <c r="W258" s="80"/>
      <c r="X258" s="80"/>
      <c r="Y258" s="80"/>
      <c r="Z258" s="80"/>
      <c r="AA258" s="80"/>
      <c r="AB258" s="80"/>
      <c r="AC258" s="80"/>
    </row>
    <row r="259" spans="1:29" ht="15.75" hidden="1" customHeight="1" x14ac:dyDescent="0.25">
      <c r="A259" s="80"/>
      <c r="B259" s="80"/>
      <c r="C259" s="80"/>
      <c r="D259" s="80"/>
      <c r="E259" s="80"/>
      <c r="F259" s="80"/>
      <c r="G259" s="80"/>
      <c r="H259" s="117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0"/>
      <c r="U259" s="80"/>
      <c r="V259" s="80"/>
      <c r="W259" s="80"/>
      <c r="X259" s="80"/>
      <c r="Y259" s="80"/>
      <c r="Z259" s="80"/>
      <c r="AA259" s="80"/>
      <c r="AB259" s="80"/>
      <c r="AC259" s="80"/>
    </row>
    <row r="260" spans="1:29" ht="15.75" hidden="1" customHeight="1" x14ac:dyDescent="0.25">
      <c r="A260" s="80"/>
      <c r="B260" s="80"/>
      <c r="C260" s="80"/>
      <c r="D260" s="80"/>
      <c r="E260" s="80"/>
      <c r="F260" s="80"/>
      <c r="G260" s="80"/>
      <c r="H260" s="117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0"/>
      <c r="U260" s="80"/>
      <c r="V260" s="80"/>
      <c r="W260" s="80"/>
      <c r="X260" s="80"/>
      <c r="Y260" s="80"/>
      <c r="Z260" s="80"/>
      <c r="AA260" s="80"/>
      <c r="AB260" s="80"/>
      <c r="AC260" s="80"/>
    </row>
    <row r="261" spans="1:29" ht="15.75" hidden="1" customHeight="1" x14ac:dyDescent="0.25">
      <c r="A261" s="80"/>
      <c r="B261" s="80"/>
      <c r="C261" s="80"/>
      <c r="D261" s="80"/>
      <c r="E261" s="80"/>
      <c r="F261" s="80"/>
      <c r="G261" s="80"/>
      <c r="H261" s="117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0"/>
      <c r="U261" s="80"/>
      <c r="V261" s="80"/>
      <c r="W261" s="80"/>
      <c r="X261" s="80"/>
      <c r="Y261" s="80"/>
      <c r="Z261" s="80"/>
      <c r="AA261" s="80"/>
      <c r="AB261" s="80"/>
      <c r="AC261" s="80"/>
    </row>
    <row r="262" spans="1:29" ht="15.75" hidden="1" customHeight="1" x14ac:dyDescent="0.25">
      <c r="A262" s="80"/>
      <c r="B262" s="80"/>
      <c r="C262" s="80"/>
      <c r="D262" s="80"/>
      <c r="E262" s="80"/>
      <c r="F262" s="80"/>
      <c r="G262" s="80"/>
      <c r="H262" s="117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0"/>
      <c r="U262" s="80"/>
      <c r="V262" s="80"/>
      <c r="W262" s="80"/>
      <c r="X262" s="80"/>
      <c r="Y262" s="80"/>
      <c r="Z262" s="80"/>
      <c r="AA262" s="80"/>
      <c r="AB262" s="80"/>
      <c r="AC262" s="80"/>
    </row>
    <row r="263" spans="1:29" ht="15.75" hidden="1" customHeight="1" x14ac:dyDescent="0.25">
      <c r="A263" s="80"/>
      <c r="B263" s="80"/>
      <c r="C263" s="80"/>
      <c r="D263" s="80"/>
      <c r="E263" s="80"/>
      <c r="F263" s="80"/>
      <c r="G263" s="80"/>
      <c r="H263" s="117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0"/>
      <c r="U263" s="80"/>
      <c r="V263" s="80"/>
      <c r="W263" s="80"/>
      <c r="X263" s="80"/>
      <c r="Y263" s="80"/>
      <c r="Z263" s="80"/>
      <c r="AA263" s="80"/>
      <c r="AB263" s="80"/>
      <c r="AC263" s="80"/>
    </row>
    <row r="264" spans="1:29" ht="15.75" hidden="1" customHeight="1" x14ac:dyDescent="0.25">
      <c r="A264" s="80"/>
      <c r="B264" s="80"/>
      <c r="C264" s="80"/>
      <c r="D264" s="80"/>
      <c r="E264" s="80"/>
      <c r="F264" s="80"/>
      <c r="G264" s="80"/>
      <c r="H264" s="117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0"/>
      <c r="U264" s="80"/>
      <c r="V264" s="80"/>
      <c r="W264" s="80"/>
      <c r="X264" s="80"/>
      <c r="Y264" s="80"/>
      <c r="Z264" s="80"/>
      <c r="AA264" s="80"/>
      <c r="AB264" s="80"/>
      <c r="AC264" s="80"/>
    </row>
    <row r="265" spans="1:29" ht="15.75" hidden="1" customHeight="1" x14ac:dyDescent="0.25">
      <c r="A265" s="80"/>
      <c r="B265" s="80"/>
      <c r="C265" s="80"/>
      <c r="D265" s="80"/>
      <c r="E265" s="80"/>
      <c r="F265" s="80"/>
      <c r="G265" s="80"/>
      <c r="H265" s="117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0"/>
      <c r="U265" s="80"/>
      <c r="V265" s="80"/>
      <c r="W265" s="80"/>
      <c r="X265" s="80"/>
      <c r="Y265" s="80"/>
      <c r="Z265" s="80"/>
      <c r="AA265" s="80"/>
      <c r="AB265" s="80"/>
      <c r="AC265" s="80"/>
    </row>
    <row r="266" spans="1:29" ht="15.75" hidden="1" customHeight="1" x14ac:dyDescent="0.25">
      <c r="A266" s="80"/>
      <c r="B266" s="80"/>
      <c r="C266" s="80"/>
      <c r="D266" s="80"/>
      <c r="E266" s="80"/>
      <c r="F266" s="80"/>
      <c r="G266" s="80"/>
      <c r="H266" s="117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0"/>
      <c r="U266" s="80"/>
      <c r="V266" s="80"/>
      <c r="W266" s="80"/>
      <c r="X266" s="80"/>
      <c r="Y266" s="80"/>
      <c r="Z266" s="80"/>
      <c r="AA266" s="80"/>
      <c r="AB266" s="80"/>
      <c r="AC266" s="80"/>
    </row>
    <row r="267" spans="1:29" ht="15.75" hidden="1" customHeight="1" x14ac:dyDescent="0.25">
      <c r="A267" s="80"/>
      <c r="B267" s="80"/>
      <c r="C267" s="80"/>
      <c r="D267" s="80"/>
      <c r="E267" s="80"/>
      <c r="F267" s="80"/>
      <c r="G267" s="80"/>
      <c r="H267" s="117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0"/>
      <c r="U267" s="80"/>
      <c r="V267" s="80"/>
      <c r="W267" s="80"/>
      <c r="X267" s="80"/>
      <c r="Y267" s="80"/>
      <c r="Z267" s="80"/>
      <c r="AA267" s="80"/>
      <c r="AB267" s="80"/>
      <c r="AC267" s="80"/>
    </row>
    <row r="268" spans="1:29" ht="15.75" hidden="1" customHeight="1" x14ac:dyDescent="0.25">
      <c r="A268" s="80"/>
      <c r="B268" s="80"/>
      <c r="C268" s="80"/>
      <c r="D268" s="80"/>
      <c r="E268" s="80"/>
      <c r="F268" s="80"/>
      <c r="G268" s="80"/>
      <c r="H268" s="117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0"/>
      <c r="U268" s="80"/>
      <c r="V268" s="80"/>
      <c r="W268" s="80"/>
      <c r="X268" s="80"/>
      <c r="Y268" s="80"/>
      <c r="Z268" s="80"/>
      <c r="AA268" s="80"/>
      <c r="AB268" s="80"/>
      <c r="AC268" s="80"/>
    </row>
    <row r="269" spans="1:29" ht="15.75" hidden="1" customHeight="1" x14ac:dyDescent="0.25">
      <c r="A269" s="80"/>
      <c r="B269" s="80"/>
      <c r="C269" s="80"/>
      <c r="D269" s="80"/>
      <c r="E269" s="80"/>
      <c r="F269" s="80"/>
      <c r="G269" s="80"/>
      <c r="H269" s="117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0"/>
      <c r="U269" s="80"/>
      <c r="V269" s="80"/>
      <c r="W269" s="80"/>
      <c r="X269" s="80"/>
      <c r="Y269" s="80"/>
      <c r="Z269" s="80"/>
      <c r="AA269" s="80"/>
      <c r="AB269" s="80"/>
      <c r="AC269" s="80"/>
    </row>
    <row r="270" spans="1:29" ht="15.75" hidden="1" customHeight="1" x14ac:dyDescent="0.25">
      <c r="A270" s="80"/>
      <c r="B270" s="80"/>
      <c r="C270" s="80"/>
      <c r="D270" s="80"/>
      <c r="E270" s="80"/>
      <c r="F270" s="80"/>
      <c r="G270" s="80"/>
      <c r="H270" s="117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0"/>
      <c r="U270" s="80"/>
      <c r="V270" s="80"/>
      <c r="W270" s="80"/>
      <c r="X270" s="80"/>
      <c r="Y270" s="80"/>
      <c r="Z270" s="80"/>
      <c r="AA270" s="80"/>
      <c r="AB270" s="80"/>
      <c r="AC270" s="80"/>
    </row>
    <row r="271" spans="1:29" ht="15.75" hidden="1" customHeight="1" x14ac:dyDescent="0.25">
      <c r="A271" s="80"/>
      <c r="B271" s="80"/>
      <c r="C271" s="80"/>
      <c r="D271" s="80"/>
      <c r="E271" s="80"/>
      <c r="F271" s="80"/>
      <c r="G271" s="80"/>
      <c r="H271" s="117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0"/>
      <c r="U271" s="80"/>
      <c r="V271" s="80"/>
      <c r="W271" s="80"/>
      <c r="X271" s="80"/>
      <c r="Y271" s="80"/>
      <c r="Z271" s="80"/>
      <c r="AA271" s="80"/>
      <c r="AB271" s="80"/>
      <c r="AC271" s="80"/>
    </row>
    <row r="272" spans="1:29" ht="15.75" hidden="1" customHeight="1" x14ac:dyDescent="0.25">
      <c r="A272" s="80"/>
      <c r="B272" s="80"/>
      <c r="C272" s="80"/>
      <c r="D272" s="80"/>
      <c r="E272" s="80"/>
      <c r="F272" s="80"/>
      <c r="G272" s="80"/>
      <c r="H272" s="117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0"/>
      <c r="U272" s="80"/>
      <c r="V272" s="80"/>
      <c r="W272" s="80"/>
      <c r="X272" s="80"/>
      <c r="Y272" s="80"/>
      <c r="Z272" s="80"/>
      <c r="AA272" s="80"/>
      <c r="AB272" s="80"/>
      <c r="AC272" s="80"/>
    </row>
    <row r="273" spans="1:29" ht="15.75" hidden="1" customHeight="1" x14ac:dyDescent="0.25">
      <c r="A273" s="80"/>
      <c r="B273" s="80"/>
      <c r="C273" s="80"/>
      <c r="D273" s="80"/>
      <c r="E273" s="80"/>
      <c r="F273" s="80"/>
      <c r="G273" s="80"/>
      <c r="H273" s="117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0"/>
      <c r="U273" s="80"/>
      <c r="V273" s="80"/>
      <c r="W273" s="80"/>
      <c r="X273" s="80"/>
      <c r="Y273" s="80"/>
      <c r="Z273" s="80"/>
      <c r="AA273" s="80"/>
      <c r="AB273" s="80"/>
      <c r="AC273" s="80"/>
    </row>
    <row r="274" spans="1:29" ht="15.75" hidden="1" customHeight="1" x14ac:dyDescent="0.25">
      <c r="A274" s="80"/>
      <c r="B274" s="80"/>
      <c r="C274" s="80"/>
      <c r="D274" s="80"/>
      <c r="E274" s="80"/>
      <c r="F274" s="80"/>
      <c r="G274" s="80"/>
      <c r="H274" s="117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0"/>
      <c r="U274" s="80"/>
      <c r="V274" s="80"/>
      <c r="W274" s="80"/>
      <c r="X274" s="80"/>
      <c r="Y274" s="80"/>
      <c r="Z274" s="80"/>
      <c r="AA274" s="80"/>
      <c r="AB274" s="80"/>
      <c r="AC274" s="80"/>
    </row>
    <row r="275" spans="1:29" ht="15.75" hidden="1" customHeight="1" x14ac:dyDescent="0.25">
      <c r="A275" s="80"/>
      <c r="B275" s="80"/>
      <c r="C275" s="80"/>
      <c r="D275" s="80"/>
      <c r="E275" s="80"/>
      <c r="F275" s="80"/>
      <c r="G275" s="80"/>
      <c r="H275" s="117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0"/>
      <c r="U275" s="80"/>
      <c r="V275" s="80"/>
      <c r="W275" s="80"/>
      <c r="X275" s="80"/>
      <c r="Y275" s="80"/>
      <c r="Z275" s="80"/>
      <c r="AA275" s="80"/>
      <c r="AB275" s="80"/>
      <c r="AC275" s="80"/>
    </row>
    <row r="276" spans="1:29" ht="15.75" hidden="1" customHeight="1" x14ac:dyDescent="0.25">
      <c r="A276" s="80"/>
      <c r="B276" s="80"/>
      <c r="C276" s="80"/>
      <c r="D276" s="80"/>
      <c r="E276" s="80"/>
      <c r="F276" s="80"/>
      <c r="G276" s="80"/>
      <c r="H276" s="117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0"/>
      <c r="U276" s="80"/>
      <c r="V276" s="80"/>
      <c r="W276" s="80"/>
      <c r="X276" s="80"/>
      <c r="Y276" s="80"/>
      <c r="Z276" s="80"/>
      <c r="AA276" s="80"/>
      <c r="AB276" s="80"/>
      <c r="AC276" s="80"/>
    </row>
    <row r="277" spans="1:29" ht="15.75" hidden="1" customHeight="1" x14ac:dyDescent="0.25">
      <c r="A277" s="80"/>
      <c r="B277" s="80"/>
      <c r="C277" s="80"/>
      <c r="D277" s="80"/>
      <c r="E277" s="80"/>
      <c r="F277" s="80"/>
      <c r="G277" s="80"/>
      <c r="H277" s="117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0"/>
      <c r="U277" s="80"/>
      <c r="V277" s="80"/>
      <c r="W277" s="80"/>
      <c r="X277" s="80"/>
      <c r="Y277" s="80"/>
      <c r="Z277" s="80"/>
      <c r="AA277" s="80"/>
      <c r="AB277" s="80"/>
      <c r="AC277" s="80"/>
    </row>
    <row r="278" spans="1:29" ht="15.75" hidden="1" customHeight="1" x14ac:dyDescent="0.25">
      <c r="A278" s="80"/>
      <c r="B278" s="80"/>
      <c r="C278" s="80"/>
      <c r="D278" s="80"/>
      <c r="E278" s="80"/>
      <c r="F278" s="80"/>
      <c r="G278" s="80"/>
      <c r="H278" s="117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0"/>
      <c r="U278" s="80"/>
      <c r="V278" s="80"/>
      <c r="W278" s="80"/>
      <c r="X278" s="80"/>
      <c r="Y278" s="80"/>
      <c r="Z278" s="80"/>
      <c r="AA278" s="80"/>
      <c r="AB278" s="80"/>
      <c r="AC278" s="80"/>
    </row>
    <row r="279" spans="1:29" ht="15.75" hidden="1" customHeight="1" x14ac:dyDescent="0.25">
      <c r="A279" s="80"/>
      <c r="B279" s="80"/>
      <c r="C279" s="80"/>
      <c r="D279" s="80"/>
      <c r="E279" s="80"/>
      <c r="F279" s="80"/>
      <c r="G279" s="80"/>
      <c r="H279" s="117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0"/>
      <c r="U279" s="80"/>
      <c r="V279" s="80"/>
      <c r="W279" s="80"/>
      <c r="X279" s="80"/>
      <c r="Y279" s="80"/>
      <c r="Z279" s="80"/>
      <c r="AA279" s="80"/>
      <c r="AB279" s="80"/>
      <c r="AC279" s="80"/>
    </row>
    <row r="280" spans="1:29" ht="15.75" hidden="1" customHeight="1" x14ac:dyDescent="0.25">
      <c r="A280" s="80"/>
      <c r="B280" s="80"/>
      <c r="C280" s="80"/>
      <c r="D280" s="80"/>
      <c r="E280" s="80"/>
      <c r="F280" s="80"/>
      <c r="G280" s="80"/>
      <c r="H280" s="117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0"/>
      <c r="U280" s="80"/>
      <c r="V280" s="80"/>
      <c r="W280" s="80"/>
      <c r="X280" s="80"/>
      <c r="Y280" s="80"/>
      <c r="Z280" s="80"/>
      <c r="AA280" s="80"/>
      <c r="AB280" s="80"/>
      <c r="AC280" s="80"/>
    </row>
    <row r="281" spans="1:29" ht="15.75" hidden="1" customHeight="1" x14ac:dyDescent="0.25">
      <c r="A281" s="80"/>
      <c r="B281" s="80"/>
      <c r="C281" s="80"/>
      <c r="D281" s="80"/>
      <c r="E281" s="80"/>
      <c r="F281" s="80"/>
      <c r="G281" s="80"/>
      <c r="H281" s="117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0"/>
      <c r="U281" s="80"/>
      <c r="V281" s="80"/>
      <c r="W281" s="80"/>
      <c r="X281" s="80"/>
      <c r="Y281" s="80"/>
      <c r="Z281" s="80"/>
      <c r="AA281" s="80"/>
      <c r="AB281" s="80"/>
      <c r="AC281" s="80"/>
    </row>
    <row r="282" spans="1:29" ht="15.75" hidden="1" customHeight="1" x14ac:dyDescent="0.25">
      <c r="A282" s="80"/>
      <c r="B282" s="80"/>
      <c r="C282" s="80"/>
      <c r="D282" s="80"/>
      <c r="E282" s="80"/>
      <c r="F282" s="80"/>
      <c r="G282" s="80"/>
      <c r="H282" s="117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0"/>
      <c r="U282" s="80"/>
      <c r="V282" s="80"/>
      <c r="W282" s="80"/>
      <c r="X282" s="80"/>
      <c r="Y282" s="80"/>
      <c r="Z282" s="80"/>
      <c r="AA282" s="80"/>
      <c r="AB282" s="80"/>
      <c r="AC282" s="80"/>
    </row>
    <row r="283" spans="1:29" ht="15.75" hidden="1" customHeight="1" x14ac:dyDescent="0.25">
      <c r="A283" s="80"/>
      <c r="B283" s="80"/>
      <c r="C283" s="80"/>
      <c r="D283" s="80"/>
      <c r="E283" s="80"/>
      <c r="F283" s="80"/>
      <c r="G283" s="80"/>
      <c r="H283" s="117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0"/>
      <c r="U283" s="80"/>
      <c r="V283" s="80"/>
      <c r="W283" s="80"/>
      <c r="X283" s="80"/>
      <c r="Y283" s="80"/>
      <c r="Z283" s="80"/>
      <c r="AA283" s="80"/>
      <c r="AB283" s="80"/>
      <c r="AC283" s="80"/>
    </row>
    <row r="284" spans="1:29" ht="15.75" hidden="1" customHeight="1" x14ac:dyDescent="0.25">
      <c r="A284" s="80"/>
      <c r="B284" s="80"/>
      <c r="C284" s="80"/>
      <c r="D284" s="80"/>
      <c r="E284" s="80"/>
      <c r="F284" s="80"/>
      <c r="G284" s="80"/>
      <c r="H284" s="117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0"/>
      <c r="U284" s="80"/>
      <c r="V284" s="80"/>
      <c r="W284" s="80"/>
      <c r="X284" s="80"/>
      <c r="Y284" s="80"/>
      <c r="Z284" s="80"/>
      <c r="AA284" s="80"/>
      <c r="AB284" s="80"/>
      <c r="AC284" s="80"/>
    </row>
    <row r="285" spans="1:29" ht="15.75" hidden="1" customHeight="1" x14ac:dyDescent="0.25">
      <c r="A285" s="80"/>
      <c r="B285" s="80"/>
      <c r="C285" s="80"/>
      <c r="D285" s="80"/>
      <c r="E285" s="80"/>
      <c r="F285" s="80"/>
      <c r="G285" s="80"/>
      <c r="H285" s="117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0"/>
      <c r="U285" s="80"/>
      <c r="V285" s="80"/>
      <c r="W285" s="80"/>
      <c r="X285" s="80"/>
      <c r="Y285" s="80"/>
      <c r="Z285" s="80"/>
      <c r="AA285" s="80"/>
      <c r="AB285" s="80"/>
      <c r="AC285" s="80"/>
    </row>
    <row r="286" spans="1:29" ht="15.75" hidden="1" customHeight="1" x14ac:dyDescent="0.25">
      <c r="A286" s="80"/>
      <c r="B286" s="80"/>
      <c r="C286" s="80"/>
      <c r="D286" s="80"/>
      <c r="E286" s="80"/>
      <c r="F286" s="80"/>
      <c r="G286" s="80"/>
      <c r="H286" s="117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0"/>
      <c r="U286" s="80"/>
      <c r="V286" s="80"/>
      <c r="W286" s="80"/>
      <c r="X286" s="80"/>
      <c r="Y286" s="80"/>
      <c r="Z286" s="80"/>
      <c r="AA286" s="80"/>
      <c r="AB286" s="80"/>
      <c r="AC286" s="80"/>
    </row>
    <row r="287" spans="1:29" ht="15.75" hidden="1" customHeight="1" x14ac:dyDescent="0.25">
      <c r="A287" s="80"/>
      <c r="B287" s="80"/>
      <c r="C287" s="80"/>
      <c r="D287" s="80"/>
      <c r="E287" s="80"/>
      <c r="F287" s="80"/>
      <c r="G287" s="80"/>
      <c r="H287" s="117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0"/>
      <c r="U287" s="80"/>
      <c r="V287" s="80"/>
      <c r="W287" s="80"/>
      <c r="X287" s="80"/>
      <c r="Y287" s="80"/>
      <c r="Z287" s="80"/>
      <c r="AA287" s="80"/>
      <c r="AB287" s="80"/>
      <c r="AC287" s="80"/>
    </row>
    <row r="288" spans="1:29" ht="15.75" hidden="1" customHeight="1" x14ac:dyDescent="0.25">
      <c r="A288" s="80"/>
      <c r="B288" s="80"/>
      <c r="C288" s="80"/>
      <c r="D288" s="80"/>
      <c r="E288" s="80"/>
      <c r="F288" s="80"/>
      <c r="G288" s="80"/>
      <c r="H288" s="117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0"/>
      <c r="U288" s="80"/>
      <c r="V288" s="80"/>
      <c r="W288" s="80"/>
      <c r="X288" s="80"/>
      <c r="Y288" s="80"/>
      <c r="Z288" s="80"/>
      <c r="AA288" s="80"/>
      <c r="AB288" s="80"/>
      <c r="AC288" s="80"/>
    </row>
    <row r="289" ht="15.75" hidden="1" customHeight="1" x14ac:dyDescent="0.25"/>
    <row r="290" ht="15.75" hidden="1" customHeight="1" x14ac:dyDescent="0.25"/>
    <row r="291" ht="15.75" hidden="1" customHeight="1" x14ac:dyDescent="0.25"/>
    <row r="292" ht="15.75" hidden="1" customHeight="1" x14ac:dyDescent="0.25"/>
    <row r="293" ht="15.75" hidden="1" customHeight="1" x14ac:dyDescent="0.25"/>
    <row r="294" ht="15.75" hidden="1" customHeight="1" x14ac:dyDescent="0.25"/>
    <row r="295" ht="15.75" hidden="1" customHeight="1" x14ac:dyDescent="0.25"/>
    <row r="296" ht="15.75" hidden="1" customHeight="1" x14ac:dyDescent="0.25"/>
    <row r="297" ht="15.75" hidden="1" customHeight="1" x14ac:dyDescent="0.25"/>
    <row r="298" ht="15.75" hidden="1" customHeight="1" x14ac:dyDescent="0.25"/>
    <row r="299" ht="15.75" hidden="1" customHeight="1" x14ac:dyDescent="0.25"/>
    <row r="300" ht="15.75" hidden="1" customHeight="1" x14ac:dyDescent="0.25"/>
    <row r="301" ht="15.75" hidden="1" customHeight="1" x14ac:dyDescent="0.25"/>
    <row r="302" ht="15.75" hidden="1" customHeight="1" x14ac:dyDescent="0.25"/>
    <row r="303" ht="15.75" hidden="1" customHeight="1" x14ac:dyDescent="0.25"/>
    <row r="304" ht="15.75" hidden="1" customHeight="1" x14ac:dyDescent="0.25"/>
    <row r="305" ht="15.75" hidden="1" customHeight="1" x14ac:dyDescent="0.25"/>
    <row r="306" ht="15.75" hidden="1" customHeight="1" x14ac:dyDescent="0.25"/>
    <row r="307" ht="15.75" hidden="1" customHeight="1" x14ac:dyDescent="0.25"/>
    <row r="308" ht="15.75" hidden="1" customHeight="1" x14ac:dyDescent="0.25"/>
    <row r="309" ht="15.75" hidden="1" customHeight="1" x14ac:dyDescent="0.25"/>
    <row r="310" ht="15.75" hidden="1" customHeight="1" x14ac:dyDescent="0.25"/>
    <row r="311" ht="15.75" hidden="1" customHeight="1" x14ac:dyDescent="0.25"/>
    <row r="312" ht="15.75" hidden="1" customHeight="1" x14ac:dyDescent="0.25"/>
    <row r="313" ht="15.75" hidden="1" customHeight="1" x14ac:dyDescent="0.25"/>
    <row r="314" ht="15.75" hidden="1" customHeight="1" x14ac:dyDescent="0.25"/>
    <row r="315" ht="15.75" hidden="1" customHeight="1" x14ac:dyDescent="0.25"/>
    <row r="316" ht="15.75" hidden="1" customHeight="1" x14ac:dyDescent="0.25"/>
    <row r="317" ht="15.75" hidden="1" customHeight="1" x14ac:dyDescent="0.25"/>
    <row r="318" ht="15.75" hidden="1" customHeight="1" x14ac:dyDescent="0.25"/>
    <row r="319" ht="15.75" hidden="1" customHeight="1" x14ac:dyDescent="0.25"/>
    <row r="320" ht="15.75" hidden="1" customHeight="1" x14ac:dyDescent="0.25"/>
    <row r="321" ht="15.75" hidden="1" customHeight="1" x14ac:dyDescent="0.25"/>
    <row r="322" ht="15.75" hidden="1" customHeight="1" x14ac:dyDescent="0.25"/>
    <row r="323" ht="15.75" hidden="1" customHeight="1" x14ac:dyDescent="0.25"/>
    <row r="324" ht="15.75" hidden="1" customHeight="1" x14ac:dyDescent="0.25"/>
    <row r="325" ht="15.75" hidden="1" customHeight="1" x14ac:dyDescent="0.25"/>
    <row r="326" ht="15.75" hidden="1" customHeight="1" x14ac:dyDescent="0.25"/>
    <row r="327" ht="15.75" hidden="1" customHeight="1" x14ac:dyDescent="0.25"/>
    <row r="328" ht="15.75" hidden="1" customHeight="1" x14ac:dyDescent="0.25"/>
    <row r="329" ht="15.75" hidden="1" customHeight="1" x14ac:dyDescent="0.25"/>
    <row r="330" ht="15.75" hidden="1" customHeight="1" x14ac:dyDescent="0.25"/>
    <row r="331" ht="15.75" hidden="1" customHeight="1" x14ac:dyDescent="0.25"/>
    <row r="332" ht="15.75" hidden="1" customHeight="1" x14ac:dyDescent="0.25"/>
    <row r="333" ht="15.75" hidden="1" customHeight="1" x14ac:dyDescent="0.25"/>
    <row r="334" ht="15.75" hidden="1" customHeight="1" x14ac:dyDescent="0.25"/>
    <row r="335" ht="15.75" hidden="1" customHeight="1" x14ac:dyDescent="0.25"/>
    <row r="336" ht="15.75" hidden="1" customHeight="1" x14ac:dyDescent="0.25"/>
    <row r="337" ht="15.75" hidden="1" customHeight="1" x14ac:dyDescent="0.25"/>
    <row r="338" ht="15.75" hidden="1" customHeight="1" x14ac:dyDescent="0.25"/>
    <row r="339" ht="15.75" hidden="1" customHeight="1" x14ac:dyDescent="0.25"/>
    <row r="340" ht="15.75" hidden="1" customHeight="1" x14ac:dyDescent="0.25"/>
    <row r="341" ht="15.75" hidden="1" customHeight="1" x14ac:dyDescent="0.25"/>
    <row r="342" ht="15.75" hidden="1" customHeight="1" x14ac:dyDescent="0.25"/>
    <row r="343" ht="15.75" hidden="1" customHeight="1" x14ac:dyDescent="0.25"/>
    <row r="344" ht="15.75" hidden="1" customHeight="1" x14ac:dyDescent="0.25"/>
    <row r="345" ht="15.75" hidden="1" customHeight="1" x14ac:dyDescent="0.25"/>
    <row r="346" ht="15.75" hidden="1" customHeight="1" x14ac:dyDescent="0.25"/>
    <row r="347" ht="15.75" hidden="1" customHeight="1" x14ac:dyDescent="0.25"/>
    <row r="348" ht="15.75" hidden="1" customHeight="1" x14ac:dyDescent="0.25"/>
    <row r="349" ht="15.75" hidden="1" customHeight="1" x14ac:dyDescent="0.25"/>
    <row r="350" ht="15.75" hidden="1" customHeight="1" x14ac:dyDescent="0.25"/>
    <row r="351" ht="15.75" hidden="1" customHeight="1" x14ac:dyDescent="0.25"/>
    <row r="352" ht="15.75" hidden="1" customHeight="1" x14ac:dyDescent="0.25"/>
    <row r="353" ht="15.75" hidden="1" customHeight="1" x14ac:dyDescent="0.25"/>
    <row r="354" ht="15.75" hidden="1" customHeight="1" x14ac:dyDescent="0.25"/>
    <row r="355" ht="15.75" hidden="1" customHeight="1" x14ac:dyDescent="0.25"/>
    <row r="356" ht="15.75" hidden="1" customHeight="1" x14ac:dyDescent="0.25"/>
    <row r="357" ht="15.75" hidden="1" customHeight="1" x14ac:dyDescent="0.25"/>
    <row r="358" ht="15.75" hidden="1" customHeight="1" x14ac:dyDescent="0.25"/>
    <row r="359" ht="15.75" hidden="1" customHeight="1" x14ac:dyDescent="0.25"/>
    <row r="360" ht="15.75" hidden="1" customHeight="1" x14ac:dyDescent="0.25"/>
    <row r="361" ht="15.75" hidden="1" customHeight="1" x14ac:dyDescent="0.25"/>
    <row r="362" ht="15.75" hidden="1" customHeight="1" x14ac:dyDescent="0.25"/>
    <row r="363" ht="15.75" hidden="1" customHeight="1" x14ac:dyDescent="0.25"/>
    <row r="364" ht="15.75" hidden="1" customHeight="1" x14ac:dyDescent="0.25"/>
    <row r="365" ht="15.75" hidden="1" customHeight="1" x14ac:dyDescent="0.25"/>
    <row r="366" ht="15.75" hidden="1" customHeight="1" x14ac:dyDescent="0.25"/>
    <row r="367" ht="15.75" hidden="1" customHeight="1" x14ac:dyDescent="0.25"/>
    <row r="368" ht="15.75" hidden="1" customHeight="1" x14ac:dyDescent="0.25"/>
    <row r="369" ht="15.75" hidden="1" customHeight="1" x14ac:dyDescent="0.25"/>
    <row r="370" ht="15.75" hidden="1" customHeight="1" x14ac:dyDescent="0.25"/>
    <row r="371" ht="15.75" hidden="1" customHeight="1" x14ac:dyDescent="0.25"/>
    <row r="372" ht="15.75" hidden="1" customHeight="1" x14ac:dyDescent="0.25"/>
    <row r="373" ht="15.75" hidden="1" customHeight="1" x14ac:dyDescent="0.25"/>
    <row r="374" ht="15.75" hidden="1" customHeight="1" x14ac:dyDescent="0.25"/>
    <row r="375" ht="15.75" hidden="1" customHeight="1" x14ac:dyDescent="0.25"/>
    <row r="376" ht="15.75" hidden="1" customHeight="1" x14ac:dyDescent="0.25"/>
    <row r="377" ht="15.75" hidden="1" customHeight="1" x14ac:dyDescent="0.25"/>
    <row r="378" ht="15.75" hidden="1" customHeight="1" x14ac:dyDescent="0.25"/>
    <row r="379" ht="15.75" hidden="1" customHeight="1" x14ac:dyDescent="0.25"/>
    <row r="380" ht="15.75" hidden="1" customHeight="1" x14ac:dyDescent="0.25"/>
    <row r="381" ht="15.75" hidden="1" customHeight="1" x14ac:dyDescent="0.25"/>
    <row r="382" ht="15.75" hidden="1" customHeight="1" x14ac:dyDescent="0.25"/>
    <row r="383" ht="15.75" hidden="1" customHeight="1" x14ac:dyDescent="0.25"/>
    <row r="384" ht="15.75" hidden="1" customHeight="1" x14ac:dyDescent="0.25"/>
    <row r="385" ht="15.75" hidden="1" customHeight="1" x14ac:dyDescent="0.25"/>
    <row r="386" ht="15.75" hidden="1" customHeight="1" x14ac:dyDescent="0.25"/>
    <row r="387" ht="15.75" hidden="1" customHeight="1" x14ac:dyDescent="0.25"/>
    <row r="388" ht="15.75" hidden="1" customHeight="1" x14ac:dyDescent="0.25"/>
    <row r="389" ht="15.75" hidden="1" customHeight="1" x14ac:dyDescent="0.25"/>
    <row r="390" ht="15.75" hidden="1" customHeight="1" x14ac:dyDescent="0.25"/>
    <row r="391" ht="15.75" hidden="1" customHeight="1" x14ac:dyDescent="0.25"/>
    <row r="392" ht="15.75" hidden="1" customHeight="1" x14ac:dyDescent="0.25"/>
    <row r="393" ht="15.75" hidden="1" customHeight="1" x14ac:dyDescent="0.25"/>
    <row r="394" ht="15.75" hidden="1" customHeight="1" x14ac:dyDescent="0.25"/>
    <row r="395" ht="15.75" hidden="1" customHeight="1" x14ac:dyDescent="0.25"/>
    <row r="396" ht="15.75" hidden="1" customHeight="1" x14ac:dyDescent="0.25"/>
    <row r="397" ht="15.75" hidden="1" customHeight="1" x14ac:dyDescent="0.25"/>
    <row r="398" ht="15.75" hidden="1" customHeight="1" x14ac:dyDescent="0.25"/>
    <row r="399" ht="15.75" hidden="1" customHeight="1" x14ac:dyDescent="0.25"/>
    <row r="400" ht="15.75" hidden="1" customHeight="1" x14ac:dyDescent="0.25"/>
    <row r="401" ht="15.75" hidden="1" customHeight="1" x14ac:dyDescent="0.25"/>
    <row r="402" ht="15.75" hidden="1" customHeight="1" x14ac:dyDescent="0.25"/>
    <row r="403" ht="15.75" hidden="1" customHeight="1" x14ac:dyDescent="0.25"/>
    <row r="404" ht="15.75" hidden="1" customHeight="1" x14ac:dyDescent="0.25"/>
    <row r="405" ht="15.75" hidden="1" customHeight="1" x14ac:dyDescent="0.25"/>
    <row r="406" ht="15.75" hidden="1" customHeight="1" x14ac:dyDescent="0.25"/>
    <row r="407" ht="15.75" hidden="1" customHeight="1" x14ac:dyDescent="0.25"/>
    <row r="408" ht="15.75" hidden="1" customHeight="1" x14ac:dyDescent="0.25"/>
    <row r="409" ht="15.75" hidden="1" customHeight="1" x14ac:dyDescent="0.25"/>
    <row r="410" ht="15.75" hidden="1" customHeight="1" x14ac:dyDescent="0.25"/>
    <row r="411" ht="15.75" hidden="1" customHeight="1" x14ac:dyDescent="0.25"/>
    <row r="412" ht="15.75" hidden="1" customHeight="1" x14ac:dyDescent="0.25"/>
    <row r="413" ht="15.75" hidden="1" customHeight="1" x14ac:dyDescent="0.25"/>
    <row r="414" ht="15.75" hidden="1" customHeight="1" x14ac:dyDescent="0.25"/>
    <row r="415" ht="15.75" hidden="1" customHeight="1" x14ac:dyDescent="0.25"/>
    <row r="416" ht="15.75" hidden="1" customHeight="1" x14ac:dyDescent="0.25"/>
    <row r="417" ht="15.75" hidden="1" customHeight="1" x14ac:dyDescent="0.25"/>
    <row r="418" ht="15.75" hidden="1" customHeight="1" x14ac:dyDescent="0.25"/>
    <row r="419" ht="15.75" hidden="1" customHeight="1" x14ac:dyDescent="0.25"/>
    <row r="420" ht="15.75" hidden="1" customHeight="1" x14ac:dyDescent="0.25"/>
    <row r="421" ht="15.75" hidden="1" customHeight="1" x14ac:dyDescent="0.25"/>
    <row r="422" ht="15.75" hidden="1" customHeight="1" x14ac:dyDescent="0.25"/>
    <row r="423" ht="15.75" hidden="1" customHeight="1" x14ac:dyDescent="0.25"/>
    <row r="424" ht="15.75" hidden="1" customHeight="1" x14ac:dyDescent="0.25"/>
    <row r="425" ht="15.75" hidden="1" customHeight="1" x14ac:dyDescent="0.25"/>
    <row r="426" ht="15.75" hidden="1" customHeight="1" x14ac:dyDescent="0.25"/>
    <row r="427" ht="15.75" hidden="1" customHeight="1" x14ac:dyDescent="0.25"/>
    <row r="428" ht="15.75" hidden="1" customHeight="1" x14ac:dyDescent="0.25"/>
    <row r="429" ht="15.75" hidden="1" customHeight="1" x14ac:dyDescent="0.25"/>
    <row r="430" ht="15.75" hidden="1" customHeight="1" x14ac:dyDescent="0.25"/>
    <row r="431" ht="15.75" hidden="1" customHeight="1" x14ac:dyDescent="0.25"/>
    <row r="432" ht="15.75" hidden="1" customHeight="1" x14ac:dyDescent="0.25"/>
    <row r="433" ht="15.75" hidden="1" customHeight="1" x14ac:dyDescent="0.25"/>
    <row r="434" ht="15.75" hidden="1" customHeight="1" x14ac:dyDescent="0.25"/>
    <row r="435" ht="15.75" hidden="1" customHeight="1" x14ac:dyDescent="0.25"/>
    <row r="436" ht="15.75" hidden="1" customHeight="1" x14ac:dyDescent="0.25"/>
    <row r="437" ht="15.75" hidden="1" customHeight="1" x14ac:dyDescent="0.25"/>
    <row r="438" ht="15.75" hidden="1" customHeight="1" x14ac:dyDescent="0.25"/>
    <row r="439" ht="15.75" hidden="1" customHeight="1" x14ac:dyDescent="0.25"/>
    <row r="440" ht="15.75" hidden="1" customHeight="1" x14ac:dyDescent="0.25"/>
    <row r="441" ht="15.75" hidden="1" customHeight="1" x14ac:dyDescent="0.25"/>
    <row r="442" ht="15.75" hidden="1" customHeight="1" x14ac:dyDescent="0.25"/>
    <row r="443" ht="15.75" hidden="1" customHeight="1" x14ac:dyDescent="0.25"/>
    <row r="444" ht="15.75" hidden="1" customHeight="1" x14ac:dyDescent="0.25"/>
    <row r="445" ht="15.75" hidden="1" customHeight="1" x14ac:dyDescent="0.25"/>
    <row r="446" ht="15.75" hidden="1" customHeight="1" x14ac:dyDescent="0.25"/>
    <row r="447" ht="15.75" hidden="1" customHeight="1" x14ac:dyDescent="0.25"/>
    <row r="448" ht="15.75" hidden="1" customHeight="1" x14ac:dyDescent="0.25"/>
    <row r="449" ht="15.75" hidden="1" customHeight="1" x14ac:dyDescent="0.25"/>
    <row r="450" ht="15.75" hidden="1" customHeight="1" x14ac:dyDescent="0.25"/>
    <row r="451" ht="15.75" hidden="1" customHeight="1" x14ac:dyDescent="0.25"/>
    <row r="452" ht="15.75" hidden="1" customHeight="1" x14ac:dyDescent="0.25"/>
    <row r="453" ht="15.75" hidden="1" customHeight="1" x14ac:dyDescent="0.25"/>
    <row r="454" ht="15.75" hidden="1" customHeight="1" x14ac:dyDescent="0.25"/>
    <row r="455" ht="15.75" hidden="1" customHeight="1" x14ac:dyDescent="0.25"/>
    <row r="456" ht="15.75" hidden="1" customHeight="1" x14ac:dyDescent="0.25"/>
    <row r="457" ht="15.75" hidden="1" customHeight="1" x14ac:dyDescent="0.25"/>
    <row r="458" ht="15.75" hidden="1" customHeight="1" x14ac:dyDescent="0.25"/>
    <row r="459" ht="15.75" hidden="1" customHeight="1" x14ac:dyDescent="0.25"/>
    <row r="460" ht="15.75" hidden="1" customHeight="1" x14ac:dyDescent="0.25"/>
    <row r="461" ht="15.75" hidden="1" customHeight="1" x14ac:dyDescent="0.25"/>
    <row r="462" ht="15.75" hidden="1" customHeight="1" x14ac:dyDescent="0.25"/>
    <row r="463" ht="15.75" hidden="1" customHeight="1" x14ac:dyDescent="0.25"/>
    <row r="464" ht="15.75" hidden="1" customHeight="1" x14ac:dyDescent="0.25"/>
    <row r="465" ht="15.75" hidden="1" customHeight="1" x14ac:dyDescent="0.25"/>
    <row r="466" ht="15.75" hidden="1" customHeight="1" x14ac:dyDescent="0.25"/>
    <row r="467" ht="15.75" hidden="1" customHeight="1" x14ac:dyDescent="0.25"/>
    <row r="468" ht="15.75" hidden="1" customHeight="1" x14ac:dyDescent="0.25"/>
    <row r="469" ht="15.75" hidden="1" customHeight="1" x14ac:dyDescent="0.25"/>
    <row r="470" ht="15.75" hidden="1" customHeight="1" x14ac:dyDescent="0.25"/>
    <row r="471" ht="15.75" hidden="1" customHeight="1" x14ac:dyDescent="0.25"/>
    <row r="472" ht="15.75" hidden="1" customHeight="1" x14ac:dyDescent="0.25"/>
    <row r="473" ht="15.75" hidden="1" customHeight="1" x14ac:dyDescent="0.25"/>
    <row r="474" ht="15.75" hidden="1" customHeight="1" x14ac:dyDescent="0.25"/>
    <row r="475" ht="15.75" hidden="1" customHeight="1" x14ac:dyDescent="0.25"/>
    <row r="476" ht="15.75" hidden="1" customHeight="1" x14ac:dyDescent="0.25"/>
    <row r="477" ht="15.75" hidden="1" customHeight="1" x14ac:dyDescent="0.25"/>
    <row r="478" ht="15.75" hidden="1" customHeight="1" x14ac:dyDescent="0.25"/>
    <row r="479" ht="15.75" hidden="1" customHeight="1" x14ac:dyDescent="0.25"/>
    <row r="480" ht="15.75" hidden="1" customHeight="1" x14ac:dyDescent="0.25"/>
    <row r="481" ht="15.75" hidden="1" customHeight="1" x14ac:dyDescent="0.25"/>
    <row r="482" ht="15.75" hidden="1" customHeight="1" x14ac:dyDescent="0.25"/>
    <row r="483" ht="15.75" hidden="1" customHeight="1" x14ac:dyDescent="0.25"/>
    <row r="484" ht="15.75" hidden="1" customHeight="1" x14ac:dyDescent="0.25"/>
    <row r="485" ht="15.75" hidden="1" customHeight="1" x14ac:dyDescent="0.25"/>
    <row r="486" ht="15.75" hidden="1" customHeight="1" x14ac:dyDescent="0.25"/>
    <row r="487" ht="15.75" hidden="1" customHeight="1" x14ac:dyDescent="0.25"/>
    <row r="488" ht="15.75" hidden="1" customHeight="1" x14ac:dyDescent="0.25"/>
    <row r="489" ht="15.75" hidden="1" customHeight="1" x14ac:dyDescent="0.25"/>
    <row r="490" ht="15.75" hidden="1" customHeight="1" x14ac:dyDescent="0.25"/>
    <row r="491" ht="15.75" hidden="1" customHeight="1" x14ac:dyDescent="0.25"/>
    <row r="492" ht="15.75" hidden="1" customHeight="1" x14ac:dyDescent="0.25"/>
    <row r="493" ht="15.75" hidden="1" customHeight="1" x14ac:dyDescent="0.25"/>
    <row r="494" ht="15.75" hidden="1" customHeight="1" x14ac:dyDescent="0.25"/>
    <row r="495" ht="15.75" hidden="1" customHeight="1" x14ac:dyDescent="0.25"/>
    <row r="496" ht="15.75" hidden="1" customHeight="1" x14ac:dyDescent="0.25"/>
    <row r="497" ht="15.75" hidden="1" customHeight="1" x14ac:dyDescent="0.25"/>
    <row r="498" ht="15.75" hidden="1" customHeight="1" x14ac:dyDescent="0.25"/>
    <row r="499" ht="15.75" hidden="1" customHeight="1" x14ac:dyDescent="0.25"/>
    <row r="500" ht="15.75" hidden="1" customHeight="1" x14ac:dyDescent="0.25"/>
    <row r="501" ht="15.75" hidden="1" customHeight="1" x14ac:dyDescent="0.25"/>
    <row r="502" ht="15.75" hidden="1" customHeight="1" x14ac:dyDescent="0.25"/>
    <row r="503" ht="15.75" hidden="1" customHeight="1" x14ac:dyDescent="0.25"/>
    <row r="504" ht="15.75" hidden="1" customHeight="1" x14ac:dyDescent="0.25"/>
    <row r="505" ht="15.75" hidden="1" customHeight="1" x14ac:dyDescent="0.25"/>
    <row r="506" ht="15.75" hidden="1" customHeight="1" x14ac:dyDescent="0.25"/>
    <row r="507" ht="15.75" hidden="1" customHeight="1" x14ac:dyDescent="0.25"/>
    <row r="508" ht="15.75" hidden="1" customHeight="1" x14ac:dyDescent="0.25"/>
    <row r="509" ht="15.75" hidden="1" customHeight="1" x14ac:dyDescent="0.25"/>
    <row r="510" ht="15.75" hidden="1" customHeight="1" x14ac:dyDescent="0.25"/>
    <row r="511" ht="15.75" hidden="1" customHeight="1" x14ac:dyDescent="0.25"/>
    <row r="512" ht="15.75" hidden="1" customHeight="1" x14ac:dyDescent="0.25"/>
    <row r="513" ht="15.75" hidden="1" customHeight="1" x14ac:dyDescent="0.25"/>
    <row r="514" ht="15.75" hidden="1" customHeight="1" x14ac:dyDescent="0.25"/>
    <row r="515" ht="15.75" hidden="1" customHeight="1" x14ac:dyDescent="0.25"/>
    <row r="516" ht="15.75" hidden="1" customHeight="1" x14ac:dyDescent="0.25"/>
    <row r="517" ht="15.75" hidden="1" customHeight="1" x14ac:dyDescent="0.25"/>
    <row r="518" ht="15.75" hidden="1" customHeight="1" x14ac:dyDescent="0.25"/>
    <row r="519" ht="15.75" hidden="1" customHeight="1" x14ac:dyDescent="0.25"/>
    <row r="520" ht="15.75" hidden="1" customHeight="1" x14ac:dyDescent="0.25"/>
    <row r="521" ht="15.75" hidden="1" customHeight="1" x14ac:dyDescent="0.25"/>
    <row r="522" ht="15.75" hidden="1" customHeight="1" x14ac:dyDescent="0.25"/>
    <row r="523" ht="15.75" hidden="1" customHeight="1" x14ac:dyDescent="0.25"/>
    <row r="524" ht="15.75" hidden="1" customHeight="1" x14ac:dyDescent="0.25"/>
    <row r="525" ht="15.75" hidden="1" customHeight="1" x14ac:dyDescent="0.25"/>
    <row r="526" ht="15.75" hidden="1" customHeight="1" x14ac:dyDescent="0.25"/>
    <row r="527" ht="15.75" hidden="1" customHeight="1" x14ac:dyDescent="0.25"/>
    <row r="528" ht="15.75" hidden="1" customHeight="1" x14ac:dyDescent="0.25"/>
    <row r="529" ht="15.75" hidden="1" customHeight="1" x14ac:dyDescent="0.25"/>
    <row r="530" ht="15.75" hidden="1" customHeight="1" x14ac:dyDescent="0.25"/>
    <row r="531" ht="15.75" hidden="1" customHeight="1" x14ac:dyDescent="0.25"/>
    <row r="532" ht="15.75" hidden="1" customHeight="1" x14ac:dyDescent="0.25"/>
    <row r="533" ht="15.75" hidden="1" customHeight="1" x14ac:dyDescent="0.25"/>
    <row r="534" ht="15.75" hidden="1" customHeight="1" x14ac:dyDescent="0.25"/>
    <row r="535" ht="15.75" hidden="1" customHeight="1" x14ac:dyDescent="0.25"/>
    <row r="536" ht="15.75" hidden="1" customHeight="1" x14ac:dyDescent="0.25"/>
    <row r="537" ht="15.75" hidden="1" customHeight="1" x14ac:dyDescent="0.25"/>
    <row r="538" ht="15.75" hidden="1" customHeight="1" x14ac:dyDescent="0.25"/>
    <row r="539" ht="15.75" hidden="1" customHeight="1" x14ac:dyDescent="0.25"/>
    <row r="540" ht="15.75" hidden="1" customHeight="1" x14ac:dyDescent="0.25"/>
    <row r="541" ht="15.75" hidden="1" customHeight="1" x14ac:dyDescent="0.25"/>
    <row r="542" ht="15.75" hidden="1" customHeight="1" x14ac:dyDescent="0.25"/>
    <row r="543" ht="15.75" hidden="1" customHeight="1" x14ac:dyDescent="0.25"/>
    <row r="544" ht="15.75" hidden="1" customHeight="1" x14ac:dyDescent="0.25"/>
    <row r="545" ht="15.75" hidden="1" customHeight="1" x14ac:dyDescent="0.25"/>
    <row r="546" ht="15.75" hidden="1" customHeight="1" x14ac:dyDescent="0.25"/>
    <row r="547" ht="15.75" hidden="1" customHeight="1" x14ac:dyDescent="0.25"/>
    <row r="548" ht="15.75" hidden="1" customHeight="1" x14ac:dyDescent="0.25"/>
    <row r="549" ht="15.75" hidden="1" customHeight="1" x14ac:dyDescent="0.25"/>
    <row r="550" ht="15.75" hidden="1" customHeight="1" x14ac:dyDescent="0.25"/>
    <row r="551" ht="15.75" hidden="1" customHeight="1" x14ac:dyDescent="0.25"/>
    <row r="552" ht="15.75" hidden="1" customHeight="1" x14ac:dyDescent="0.25"/>
    <row r="553" ht="15.75" hidden="1" customHeight="1" x14ac:dyDescent="0.25"/>
    <row r="554" ht="15.75" hidden="1" customHeight="1" x14ac:dyDescent="0.25"/>
    <row r="555" ht="15.75" hidden="1" customHeight="1" x14ac:dyDescent="0.25"/>
    <row r="556" ht="15.75" hidden="1" customHeight="1" x14ac:dyDescent="0.25"/>
    <row r="557" ht="15.75" hidden="1" customHeight="1" x14ac:dyDescent="0.25"/>
    <row r="558" ht="15.75" hidden="1" customHeight="1" x14ac:dyDescent="0.25"/>
    <row r="559" ht="15.75" hidden="1" customHeight="1" x14ac:dyDescent="0.25"/>
    <row r="560" ht="15.75" hidden="1" customHeight="1" x14ac:dyDescent="0.25"/>
    <row r="561" ht="15.75" hidden="1" customHeight="1" x14ac:dyDescent="0.25"/>
    <row r="562" ht="15.75" hidden="1" customHeight="1" x14ac:dyDescent="0.25"/>
    <row r="563" ht="15.75" hidden="1" customHeight="1" x14ac:dyDescent="0.25"/>
    <row r="564" ht="15.75" hidden="1" customHeight="1" x14ac:dyDescent="0.25"/>
    <row r="565" ht="15.75" hidden="1" customHeight="1" x14ac:dyDescent="0.25"/>
    <row r="566" ht="15.75" hidden="1" customHeight="1" x14ac:dyDescent="0.25"/>
    <row r="567" ht="15.75" hidden="1" customHeight="1" x14ac:dyDescent="0.25"/>
    <row r="568" ht="15.75" hidden="1" customHeight="1" x14ac:dyDescent="0.25"/>
    <row r="569" ht="15.75" hidden="1" customHeight="1" x14ac:dyDescent="0.25"/>
    <row r="570" ht="15.75" hidden="1" customHeight="1" x14ac:dyDescent="0.25"/>
    <row r="571" ht="15.75" hidden="1" customHeight="1" x14ac:dyDescent="0.25"/>
    <row r="572" ht="15.75" hidden="1" customHeight="1" x14ac:dyDescent="0.25"/>
    <row r="573" ht="15.75" hidden="1" customHeight="1" x14ac:dyDescent="0.25"/>
    <row r="574" ht="15.75" hidden="1" customHeight="1" x14ac:dyDescent="0.25"/>
    <row r="575" ht="15.75" hidden="1" customHeight="1" x14ac:dyDescent="0.25"/>
    <row r="576" ht="15.75" hidden="1" customHeight="1" x14ac:dyDescent="0.25"/>
    <row r="577" ht="15.75" hidden="1" customHeight="1" x14ac:dyDescent="0.25"/>
    <row r="578" ht="15.75" hidden="1" customHeight="1" x14ac:dyDescent="0.25"/>
    <row r="579" ht="15.75" hidden="1" customHeight="1" x14ac:dyDescent="0.25"/>
    <row r="580" ht="15.75" hidden="1" customHeight="1" x14ac:dyDescent="0.25"/>
    <row r="581" ht="15.75" hidden="1" customHeight="1" x14ac:dyDescent="0.25"/>
    <row r="582" ht="15.75" hidden="1" customHeight="1" x14ac:dyDescent="0.25"/>
    <row r="583" ht="15.75" hidden="1" customHeight="1" x14ac:dyDescent="0.25"/>
    <row r="584" ht="15.75" hidden="1" customHeight="1" x14ac:dyDescent="0.25"/>
    <row r="585" ht="15.75" hidden="1" customHeight="1" x14ac:dyDescent="0.25"/>
    <row r="586" ht="15.75" hidden="1" customHeight="1" x14ac:dyDescent="0.25"/>
    <row r="587" ht="15.75" hidden="1" customHeight="1" x14ac:dyDescent="0.25"/>
    <row r="588" ht="15.75" hidden="1" customHeight="1" x14ac:dyDescent="0.25"/>
    <row r="589" ht="15.75" hidden="1" customHeight="1" x14ac:dyDescent="0.25"/>
    <row r="590" ht="15.75" hidden="1" customHeight="1" x14ac:dyDescent="0.25"/>
    <row r="591" ht="15.75" hidden="1" customHeight="1" x14ac:dyDescent="0.25"/>
    <row r="592" ht="15.75" hidden="1" customHeight="1" x14ac:dyDescent="0.25"/>
    <row r="593" ht="15.75" hidden="1" customHeight="1" x14ac:dyDescent="0.25"/>
    <row r="594" ht="15.75" hidden="1" customHeight="1" x14ac:dyDescent="0.25"/>
    <row r="595" ht="15.75" hidden="1" customHeight="1" x14ac:dyDescent="0.25"/>
    <row r="596" ht="15.75" hidden="1" customHeight="1" x14ac:dyDescent="0.25"/>
    <row r="597" ht="15.75" hidden="1" customHeight="1" x14ac:dyDescent="0.25"/>
    <row r="598" ht="15.75" hidden="1" customHeight="1" x14ac:dyDescent="0.25"/>
    <row r="599" ht="15.75" hidden="1" customHeight="1" x14ac:dyDescent="0.25"/>
    <row r="600" ht="15.75" hidden="1" customHeight="1" x14ac:dyDescent="0.25"/>
    <row r="601" ht="15.75" hidden="1" customHeight="1" x14ac:dyDescent="0.25"/>
    <row r="602" ht="15.75" hidden="1" customHeight="1" x14ac:dyDescent="0.25"/>
    <row r="603" ht="15.75" hidden="1" customHeight="1" x14ac:dyDescent="0.25"/>
    <row r="604" ht="15.75" hidden="1" customHeight="1" x14ac:dyDescent="0.25"/>
    <row r="605" ht="15.75" hidden="1" customHeight="1" x14ac:dyDescent="0.25"/>
    <row r="606" ht="15.75" hidden="1" customHeight="1" x14ac:dyDescent="0.25"/>
    <row r="607" ht="15.75" hidden="1" customHeight="1" x14ac:dyDescent="0.25"/>
    <row r="608" ht="15.75" hidden="1" customHeight="1" x14ac:dyDescent="0.25"/>
    <row r="609" ht="15.75" hidden="1" customHeight="1" x14ac:dyDescent="0.25"/>
    <row r="610" ht="15.75" hidden="1" customHeight="1" x14ac:dyDescent="0.25"/>
    <row r="611" ht="15.75" hidden="1" customHeight="1" x14ac:dyDescent="0.25"/>
    <row r="612" ht="15.75" hidden="1" customHeight="1" x14ac:dyDescent="0.25"/>
    <row r="613" ht="15.75" hidden="1" customHeight="1" x14ac:dyDescent="0.25"/>
    <row r="614" ht="15.75" hidden="1" customHeight="1" x14ac:dyDescent="0.25"/>
    <row r="615" ht="15.75" hidden="1" customHeight="1" x14ac:dyDescent="0.25"/>
    <row r="616" ht="15.75" hidden="1" customHeight="1" x14ac:dyDescent="0.25"/>
    <row r="617" ht="15.75" hidden="1" customHeight="1" x14ac:dyDescent="0.25"/>
    <row r="618" ht="15.75" hidden="1" customHeight="1" x14ac:dyDescent="0.25"/>
    <row r="619" ht="15.75" hidden="1" customHeight="1" x14ac:dyDescent="0.25"/>
    <row r="620" ht="15.75" hidden="1" customHeight="1" x14ac:dyDescent="0.25"/>
    <row r="621" ht="15.75" hidden="1" customHeight="1" x14ac:dyDescent="0.25"/>
    <row r="622" ht="15.75" hidden="1" customHeight="1" x14ac:dyDescent="0.25"/>
    <row r="623" ht="15.75" hidden="1" customHeight="1" x14ac:dyDescent="0.25"/>
    <row r="624" ht="15.75" hidden="1" customHeight="1" x14ac:dyDescent="0.25"/>
    <row r="625" ht="15.75" hidden="1" customHeight="1" x14ac:dyDescent="0.25"/>
    <row r="626" ht="15.75" hidden="1" customHeight="1" x14ac:dyDescent="0.25"/>
    <row r="627" ht="15.75" hidden="1" customHeight="1" x14ac:dyDescent="0.25"/>
    <row r="628" ht="15.75" hidden="1" customHeight="1" x14ac:dyDescent="0.25"/>
    <row r="629" ht="15.75" hidden="1" customHeight="1" x14ac:dyDescent="0.25"/>
    <row r="630" ht="15.75" hidden="1" customHeight="1" x14ac:dyDescent="0.25"/>
    <row r="631" ht="15.75" hidden="1" customHeight="1" x14ac:dyDescent="0.25"/>
    <row r="632" ht="15.75" hidden="1" customHeight="1" x14ac:dyDescent="0.25"/>
    <row r="633" ht="15.75" hidden="1" customHeight="1" x14ac:dyDescent="0.25"/>
    <row r="634" ht="15.75" hidden="1" customHeight="1" x14ac:dyDescent="0.25"/>
    <row r="635" ht="15.75" hidden="1" customHeight="1" x14ac:dyDescent="0.25"/>
    <row r="636" ht="15.75" hidden="1" customHeight="1" x14ac:dyDescent="0.25"/>
    <row r="637" ht="15.75" hidden="1" customHeight="1" x14ac:dyDescent="0.25"/>
    <row r="638" ht="15.75" hidden="1" customHeight="1" x14ac:dyDescent="0.25"/>
    <row r="639" ht="15.75" hidden="1" customHeight="1" x14ac:dyDescent="0.25"/>
    <row r="640" ht="15.75" hidden="1" customHeight="1" x14ac:dyDescent="0.25"/>
    <row r="641" ht="15.75" hidden="1" customHeight="1" x14ac:dyDescent="0.25"/>
    <row r="642" ht="15.75" hidden="1" customHeight="1" x14ac:dyDescent="0.25"/>
    <row r="643" ht="15.75" hidden="1" customHeight="1" x14ac:dyDescent="0.25"/>
    <row r="644" ht="15.75" hidden="1" customHeight="1" x14ac:dyDescent="0.25"/>
    <row r="645" ht="15.75" hidden="1" customHeight="1" x14ac:dyDescent="0.25"/>
    <row r="646" ht="15.75" hidden="1" customHeight="1" x14ac:dyDescent="0.25"/>
    <row r="647" ht="15.75" hidden="1" customHeight="1" x14ac:dyDescent="0.25"/>
    <row r="648" ht="15.75" hidden="1" customHeight="1" x14ac:dyDescent="0.25"/>
    <row r="649" ht="15.75" hidden="1" customHeight="1" x14ac:dyDescent="0.25"/>
    <row r="650" ht="15.75" hidden="1" customHeight="1" x14ac:dyDescent="0.25"/>
    <row r="651" ht="15.75" hidden="1" customHeight="1" x14ac:dyDescent="0.25"/>
    <row r="652" ht="15.75" hidden="1" customHeight="1" x14ac:dyDescent="0.25"/>
    <row r="653" ht="15.75" hidden="1" customHeight="1" x14ac:dyDescent="0.25"/>
    <row r="654" ht="15.75" hidden="1" customHeight="1" x14ac:dyDescent="0.25"/>
    <row r="655" ht="15.75" hidden="1" customHeight="1" x14ac:dyDescent="0.25"/>
    <row r="656" ht="15.75" hidden="1" customHeight="1" x14ac:dyDescent="0.25"/>
    <row r="657" ht="15.75" hidden="1" customHeight="1" x14ac:dyDescent="0.25"/>
    <row r="658" ht="15.75" hidden="1" customHeight="1" x14ac:dyDescent="0.25"/>
    <row r="659" ht="15.75" hidden="1" customHeight="1" x14ac:dyDescent="0.25"/>
    <row r="660" ht="15.75" hidden="1" customHeight="1" x14ac:dyDescent="0.25"/>
    <row r="661" ht="15.75" hidden="1" customHeight="1" x14ac:dyDescent="0.25"/>
    <row r="662" ht="15.75" hidden="1" customHeight="1" x14ac:dyDescent="0.25"/>
    <row r="663" ht="15.75" hidden="1" customHeight="1" x14ac:dyDescent="0.25"/>
    <row r="664" ht="15.75" hidden="1" customHeight="1" x14ac:dyDescent="0.25"/>
    <row r="665" ht="15.75" hidden="1" customHeight="1" x14ac:dyDescent="0.25"/>
    <row r="666" ht="15.75" hidden="1" customHeight="1" x14ac:dyDescent="0.25"/>
    <row r="667" ht="15.75" hidden="1" customHeight="1" x14ac:dyDescent="0.25"/>
    <row r="668" ht="15.75" hidden="1" customHeight="1" x14ac:dyDescent="0.25"/>
    <row r="669" ht="15.75" hidden="1" customHeight="1" x14ac:dyDescent="0.25"/>
    <row r="670" ht="15.75" hidden="1" customHeight="1" x14ac:dyDescent="0.25"/>
    <row r="671" ht="15.75" hidden="1" customHeight="1" x14ac:dyDescent="0.25"/>
    <row r="672" ht="15.75" hidden="1" customHeight="1" x14ac:dyDescent="0.25"/>
    <row r="673" ht="15.75" hidden="1" customHeight="1" x14ac:dyDescent="0.25"/>
    <row r="674" ht="15.75" hidden="1" customHeight="1" x14ac:dyDescent="0.25"/>
    <row r="675" ht="15.75" hidden="1" customHeight="1" x14ac:dyDescent="0.25"/>
    <row r="676" ht="15.75" hidden="1" customHeight="1" x14ac:dyDescent="0.25"/>
    <row r="677" ht="15.75" hidden="1" customHeight="1" x14ac:dyDescent="0.25"/>
    <row r="678" ht="15.75" hidden="1" customHeight="1" x14ac:dyDescent="0.25"/>
    <row r="679" ht="15.75" hidden="1" customHeight="1" x14ac:dyDescent="0.25"/>
    <row r="680" ht="15.75" hidden="1" customHeight="1" x14ac:dyDescent="0.25"/>
    <row r="681" ht="15.75" hidden="1" customHeight="1" x14ac:dyDescent="0.25"/>
    <row r="682" ht="15.75" hidden="1" customHeight="1" x14ac:dyDescent="0.25"/>
    <row r="683" ht="15.75" hidden="1" customHeight="1" x14ac:dyDescent="0.25"/>
    <row r="684" ht="15.75" hidden="1" customHeight="1" x14ac:dyDescent="0.25"/>
    <row r="685" ht="15.75" hidden="1" customHeight="1" x14ac:dyDescent="0.25"/>
    <row r="686" ht="15.75" hidden="1" customHeight="1" x14ac:dyDescent="0.25"/>
    <row r="687" ht="15.75" hidden="1" customHeight="1" x14ac:dyDescent="0.25"/>
    <row r="688" ht="15.75" hidden="1" customHeight="1" x14ac:dyDescent="0.25"/>
    <row r="689" ht="15.75" hidden="1" customHeight="1" x14ac:dyDescent="0.25"/>
    <row r="690" ht="15.75" hidden="1" customHeight="1" x14ac:dyDescent="0.25"/>
    <row r="691" ht="15.75" hidden="1" customHeight="1" x14ac:dyDescent="0.25"/>
    <row r="692" ht="15.75" hidden="1" customHeight="1" x14ac:dyDescent="0.25"/>
    <row r="693" ht="15.75" hidden="1" customHeight="1" x14ac:dyDescent="0.25"/>
    <row r="694" ht="15.75" hidden="1" customHeight="1" x14ac:dyDescent="0.25"/>
    <row r="695" ht="15.75" hidden="1" customHeight="1" x14ac:dyDescent="0.25"/>
    <row r="696" ht="15.75" hidden="1" customHeight="1" x14ac:dyDescent="0.25"/>
    <row r="697" ht="15.75" hidden="1" customHeight="1" x14ac:dyDescent="0.25"/>
    <row r="698" ht="15.75" hidden="1" customHeight="1" x14ac:dyDescent="0.25"/>
    <row r="699" ht="15.75" hidden="1" customHeight="1" x14ac:dyDescent="0.25"/>
    <row r="700" ht="15.75" hidden="1" customHeight="1" x14ac:dyDescent="0.25"/>
    <row r="701" ht="15.75" hidden="1" customHeight="1" x14ac:dyDescent="0.25"/>
    <row r="702" ht="15.75" hidden="1" customHeight="1" x14ac:dyDescent="0.25"/>
    <row r="703" ht="15.75" hidden="1" customHeight="1" x14ac:dyDescent="0.25"/>
    <row r="704" ht="15.75" hidden="1" customHeight="1" x14ac:dyDescent="0.25"/>
    <row r="705" ht="15.75" hidden="1" customHeight="1" x14ac:dyDescent="0.25"/>
    <row r="706" ht="15.75" hidden="1" customHeight="1" x14ac:dyDescent="0.25"/>
    <row r="707" ht="15.75" hidden="1" customHeight="1" x14ac:dyDescent="0.25"/>
    <row r="708" ht="15.75" hidden="1" customHeight="1" x14ac:dyDescent="0.25"/>
    <row r="709" ht="15.75" hidden="1" customHeight="1" x14ac:dyDescent="0.25"/>
    <row r="710" ht="15.75" hidden="1" customHeight="1" x14ac:dyDescent="0.25"/>
    <row r="711" ht="15.75" hidden="1" customHeight="1" x14ac:dyDescent="0.25"/>
    <row r="712" ht="15.75" hidden="1" customHeight="1" x14ac:dyDescent="0.25"/>
    <row r="713" ht="15.75" hidden="1" customHeight="1" x14ac:dyDescent="0.25"/>
    <row r="714" ht="15.75" hidden="1" customHeight="1" x14ac:dyDescent="0.25"/>
    <row r="715" ht="15.75" hidden="1" customHeight="1" x14ac:dyDescent="0.25"/>
    <row r="716" ht="15.75" hidden="1" customHeight="1" x14ac:dyDescent="0.25"/>
    <row r="717" ht="15.75" hidden="1" customHeight="1" x14ac:dyDescent="0.25"/>
    <row r="718" ht="15.75" hidden="1" customHeight="1" x14ac:dyDescent="0.25"/>
    <row r="719" ht="15.75" hidden="1" customHeight="1" x14ac:dyDescent="0.25"/>
    <row r="720" ht="15.75" hidden="1" customHeight="1" x14ac:dyDescent="0.25"/>
    <row r="721" ht="15.75" hidden="1" customHeight="1" x14ac:dyDescent="0.25"/>
    <row r="722" ht="15.75" hidden="1" customHeight="1" x14ac:dyDescent="0.25"/>
    <row r="723" ht="15.75" hidden="1" customHeight="1" x14ac:dyDescent="0.25"/>
    <row r="724" ht="15.75" hidden="1" customHeight="1" x14ac:dyDescent="0.25"/>
    <row r="725" ht="15.75" hidden="1" customHeight="1" x14ac:dyDescent="0.25"/>
    <row r="726" ht="15.75" hidden="1" customHeight="1" x14ac:dyDescent="0.25"/>
    <row r="727" ht="15.75" hidden="1" customHeight="1" x14ac:dyDescent="0.25"/>
    <row r="728" ht="15.75" hidden="1" customHeight="1" x14ac:dyDescent="0.25"/>
    <row r="729" ht="15.75" hidden="1" customHeight="1" x14ac:dyDescent="0.25"/>
    <row r="730" ht="15.75" hidden="1" customHeight="1" x14ac:dyDescent="0.25"/>
    <row r="731" ht="15.75" hidden="1" customHeight="1" x14ac:dyDescent="0.25"/>
    <row r="732" ht="15.75" hidden="1" customHeight="1" x14ac:dyDescent="0.25"/>
    <row r="733" ht="15.75" hidden="1" customHeight="1" x14ac:dyDescent="0.25"/>
    <row r="734" ht="15.75" hidden="1" customHeight="1" x14ac:dyDescent="0.25"/>
    <row r="735" ht="15.75" hidden="1" customHeight="1" x14ac:dyDescent="0.25"/>
    <row r="736" ht="15.75" hidden="1" customHeight="1" x14ac:dyDescent="0.25"/>
    <row r="737" ht="15.75" hidden="1" customHeight="1" x14ac:dyDescent="0.25"/>
    <row r="738" ht="15.75" hidden="1" customHeight="1" x14ac:dyDescent="0.25"/>
    <row r="739" ht="15.75" hidden="1" customHeight="1" x14ac:dyDescent="0.25"/>
    <row r="740" ht="15.75" hidden="1" customHeight="1" x14ac:dyDescent="0.25"/>
    <row r="741" ht="15.75" hidden="1" customHeight="1" x14ac:dyDescent="0.25"/>
    <row r="742" ht="15.75" hidden="1" customHeight="1" x14ac:dyDescent="0.25"/>
    <row r="743" ht="15.75" hidden="1" customHeight="1" x14ac:dyDescent="0.25"/>
    <row r="744" ht="15.75" hidden="1" customHeight="1" x14ac:dyDescent="0.25"/>
    <row r="745" ht="15.75" hidden="1" customHeight="1" x14ac:dyDescent="0.25"/>
    <row r="746" ht="15.75" hidden="1" customHeight="1" x14ac:dyDescent="0.25"/>
    <row r="747" ht="15.75" hidden="1" customHeight="1" x14ac:dyDescent="0.25"/>
    <row r="748" ht="15.75" hidden="1" customHeight="1" x14ac:dyDescent="0.25"/>
    <row r="749" ht="15.75" hidden="1" customHeight="1" x14ac:dyDescent="0.25"/>
    <row r="750" ht="15.75" hidden="1" customHeight="1" x14ac:dyDescent="0.25"/>
    <row r="751" ht="15.75" hidden="1" customHeight="1" x14ac:dyDescent="0.25"/>
    <row r="752" ht="15.75" hidden="1" customHeight="1" x14ac:dyDescent="0.25"/>
    <row r="753" ht="15.75" hidden="1" customHeight="1" x14ac:dyDescent="0.25"/>
    <row r="754" ht="15.75" hidden="1" customHeight="1" x14ac:dyDescent="0.25"/>
    <row r="755" ht="15.75" hidden="1" customHeight="1" x14ac:dyDescent="0.25"/>
    <row r="756" ht="15.75" hidden="1" customHeight="1" x14ac:dyDescent="0.25"/>
    <row r="757" ht="15.75" hidden="1" customHeight="1" x14ac:dyDescent="0.25"/>
    <row r="758" ht="15.75" hidden="1" customHeight="1" x14ac:dyDescent="0.25"/>
    <row r="759" ht="15.75" hidden="1" customHeight="1" x14ac:dyDescent="0.25"/>
    <row r="760" ht="15.75" hidden="1" customHeight="1" x14ac:dyDescent="0.25"/>
    <row r="761" ht="15.75" hidden="1" customHeight="1" x14ac:dyDescent="0.25"/>
    <row r="762" ht="15.75" hidden="1" customHeight="1" x14ac:dyDescent="0.25"/>
    <row r="763" ht="15.75" hidden="1" customHeight="1" x14ac:dyDescent="0.25"/>
    <row r="764" ht="15.75" hidden="1" customHeight="1" x14ac:dyDescent="0.25"/>
    <row r="765" ht="15.75" hidden="1" customHeight="1" x14ac:dyDescent="0.25"/>
    <row r="766" ht="15.75" hidden="1" customHeight="1" x14ac:dyDescent="0.25"/>
    <row r="767" ht="15.75" hidden="1" customHeight="1" x14ac:dyDescent="0.25"/>
    <row r="768" ht="15.75" hidden="1" customHeight="1" x14ac:dyDescent="0.25"/>
    <row r="769" ht="15.75" hidden="1" customHeight="1" x14ac:dyDescent="0.25"/>
    <row r="770" ht="15.75" hidden="1" customHeight="1" x14ac:dyDescent="0.25"/>
    <row r="771" ht="15.75" hidden="1" customHeight="1" x14ac:dyDescent="0.25"/>
    <row r="772" ht="15.75" hidden="1" customHeight="1" x14ac:dyDescent="0.25"/>
    <row r="773" ht="15.75" hidden="1" customHeight="1" x14ac:dyDescent="0.25"/>
    <row r="774" ht="15.75" hidden="1" customHeight="1" x14ac:dyDescent="0.25"/>
    <row r="775" ht="15.75" hidden="1" customHeight="1" x14ac:dyDescent="0.25"/>
    <row r="776" ht="15.75" hidden="1" customHeight="1" x14ac:dyDescent="0.25"/>
    <row r="777" ht="15.75" hidden="1" customHeight="1" x14ac:dyDescent="0.25"/>
    <row r="778" ht="15.75" hidden="1" customHeight="1" x14ac:dyDescent="0.25"/>
    <row r="779" ht="15.75" hidden="1" customHeight="1" x14ac:dyDescent="0.25"/>
    <row r="780" ht="15.75" hidden="1" customHeight="1" x14ac:dyDescent="0.25"/>
    <row r="781" ht="15.75" hidden="1" customHeight="1" x14ac:dyDescent="0.25"/>
    <row r="782" ht="15.75" hidden="1" customHeight="1" x14ac:dyDescent="0.25"/>
    <row r="783" ht="15.75" hidden="1" customHeight="1" x14ac:dyDescent="0.25"/>
    <row r="784" ht="15.75" hidden="1" customHeight="1" x14ac:dyDescent="0.25"/>
    <row r="785" ht="15.75" hidden="1" customHeight="1" x14ac:dyDescent="0.25"/>
    <row r="786" ht="15.75" hidden="1" customHeight="1" x14ac:dyDescent="0.25"/>
    <row r="787" ht="15.75" hidden="1" customHeight="1" x14ac:dyDescent="0.25"/>
    <row r="788" ht="15.75" hidden="1" customHeight="1" x14ac:dyDescent="0.25"/>
    <row r="789" ht="15.75" hidden="1" customHeight="1" x14ac:dyDescent="0.25"/>
    <row r="790" ht="15.75" hidden="1" customHeight="1" x14ac:dyDescent="0.25"/>
    <row r="791" ht="15.75" hidden="1" customHeight="1" x14ac:dyDescent="0.25"/>
    <row r="792" ht="15.75" hidden="1" customHeight="1" x14ac:dyDescent="0.25"/>
    <row r="793" ht="15.75" hidden="1" customHeight="1" x14ac:dyDescent="0.25"/>
    <row r="794" ht="15.75" hidden="1" customHeight="1" x14ac:dyDescent="0.25"/>
    <row r="795" ht="15.75" hidden="1" customHeight="1" x14ac:dyDescent="0.25"/>
    <row r="796" ht="15.75" hidden="1" customHeight="1" x14ac:dyDescent="0.25"/>
    <row r="797" ht="15.75" hidden="1" customHeight="1" x14ac:dyDescent="0.25"/>
    <row r="798" ht="15.75" hidden="1" customHeight="1" x14ac:dyDescent="0.25"/>
    <row r="799" ht="15.75" hidden="1" customHeight="1" x14ac:dyDescent="0.25"/>
    <row r="800" ht="15.75" hidden="1" customHeight="1" x14ac:dyDescent="0.25"/>
    <row r="801" ht="15.75" hidden="1" customHeight="1" x14ac:dyDescent="0.25"/>
    <row r="802" ht="15.75" hidden="1" customHeight="1" x14ac:dyDescent="0.25"/>
    <row r="803" ht="15.75" hidden="1" customHeight="1" x14ac:dyDescent="0.25"/>
    <row r="804" ht="15.75" hidden="1" customHeight="1" x14ac:dyDescent="0.25"/>
    <row r="805" ht="15.75" hidden="1" customHeight="1" x14ac:dyDescent="0.25"/>
    <row r="806" ht="15.75" hidden="1" customHeight="1" x14ac:dyDescent="0.25"/>
    <row r="807" ht="15.75" hidden="1" customHeight="1" x14ac:dyDescent="0.25"/>
    <row r="808" ht="15.75" hidden="1" customHeight="1" x14ac:dyDescent="0.25"/>
    <row r="809" ht="15.75" hidden="1" customHeight="1" x14ac:dyDescent="0.25"/>
    <row r="810" ht="15.75" hidden="1" customHeight="1" x14ac:dyDescent="0.25"/>
    <row r="811" ht="15.75" hidden="1" customHeight="1" x14ac:dyDescent="0.25"/>
    <row r="812" ht="15.75" hidden="1" customHeight="1" x14ac:dyDescent="0.25"/>
    <row r="813" ht="15.75" hidden="1" customHeight="1" x14ac:dyDescent="0.25"/>
    <row r="814" ht="15.75" hidden="1" customHeight="1" x14ac:dyDescent="0.25"/>
    <row r="815" ht="15.75" hidden="1" customHeight="1" x14ac:dyDescent="0.25"/>
    <row r="816" ht="15.75" hidden="1" customHeight="1" x14ac:dyDescent="0.25"/>
    <row r="817" ht="15.75" hidden="1" customHeight="1" x14ac:dyDescent="0.25"/>
    <row r="818" ht="15.75" hidden="1" customHeight="1" x14ac:dyDescent="0.25"/>
    <row r="819" ht="15.75" hidden="1" customHeight="1" x14ac:dyDescent="0.25"/>
    <row r="820" ht="15.75" hidden="1" customHeight="1" x14ac:dyDescent="0.25"/>
    <row r="821" ht="15.75" hidden="1" customHeight="1" x14ac:dyDescent="0.25"/>
    <row r="822" ht="15.75" hidden="1" customHeight="1" x14ac:dyDescent="0.25"/>
    <row r="823" ht="15.75" hidden="1" customHeight="1" x14ac:dyDescent="0.25"/>
    <row r="824" ht="15.75" hidden="1" customHeight="1" x14ac:dyDescent="0.25"/>
    <row r="825" ht="15.75" hidden="1" customHeight="1" x14ac:dyDescent="0.25"/>
    <row r="826" ht="15.75" hidden="1" customHeight="1" x14ac:dyDescent="0.25"/>
    <row r="827" ht="15.75" hidden="1" customHeight="1" x14ac:dyDescent="0.25"/>
    <row r="828" ht="15.75" hidden="1" customHeight="1" x14ac:dyDescent="0.25"/>
    <row r="829" ht="15.75" hidden="1" customHeight="1" x14ac:dyDescent="0.25"/>
    <row r="830" ht="15.75" hidden="1" customHeight="1" x14ac:dyDescent="0.25"/>
    <row r="831" ht="15.75" hidden="1" customHeight="1" x14ac:dyDescent="0.25"/>
    <row r="832" ht="15.75" hidden="1" customHeight="1" x14ac:dyDescent="0.25"/>
    <row r="833" ht="15.75" hidden="1" customHeight="1" x14ac:dyDescent="0.25"/>
    <row r="834" ht="15.75" hidden="1" customHeight="1" x14ac:dyDescent="0.25"/>
    <row r="835" ht="15.75" hidden="1" customHeight="1" x14ac:dyDescent="0.25"/>
    <row r="836" ht="15.75" hidden="1" customHeight="1" x14ac:dyDescent="0.25"/>
    <row r="837" ht="15.75" hidden="1" customHeight="1" x14ac:dyDescent="0.25"/>
    <row r="838" ht="15.75" hidden="1" customHeight="1" x14ac:dyDescent="0.25"/>
    <row r="839" ht="15.75" hidden="1" customHeight="1" x14ac:dyDescent="0.25"/>
    <row r="840" ht="15.75" hidden="1" customHeight="1" x14ac:dyDescent="0.25"/>
    <row r="841" ht="15.75" hidden="1" customHeight="1" x14ac:dyDescent="0.25"/>
    <row r="842" ht="15.75" hidden="1" customHeight="1" x14ac:dyDescent="0.25"/>
    <row r="843" ht="15.75" hidden="1" customHeight="1" x14ac:dyDescent="0.25"/>
    <row r="844" ht="15.75" hidden="1" customHeight="1" x14ac:dyDescent="0.25"/>
    <row r="845" ht="15.75" hidden="1" customHeight="1" x14ac:dyDescent="0.25"/>
    <row r="846" ht="15.75" hidden="1" customHeight="1" x14ac:dyDescent="0.25"/>
    <row r="847" ht="15.75" hidden="1" customHeight="1" x14ac:dyDescent="0.25"/>
    <row r="848" ht="15.75" hidden="1" customHeight="1" x14ac:dyDescent="0.25"/>
    <row r="849" ht="15.75" hidden="1" customHeight="1" x14ac:dyDescent="0.25"/>
    <row r="850" ht="15.75" hidden="1" customHeight="1" x14ac:dyDescent="0.25"/>
    <row r="851" ht="15.75" hidden="1" customHeight="1" x14ac:dyDescent="0.25"/>
    <row r="852" ht="15.75" hidden="1" customHeight="1" x14ac:dyDescent="0.25"/>
    <row r="853" ht="15.75" hidden="1" customHeight="1" x14ac:dyDescent="0.25"/>
    <row r="854" ht="15.75" hidden="1" customHeight="1" x14ac:dyDescent="0.25"/>
    <row r="855" ht="15.75" hidden="1" customHeight="1" x14ac:dyDescent="0.25"/>
    <row r="856" ht="15.75" hidden="1" customHeight="1" x14ac:dyDescent="0.25"/>
    <row r="857" ht="15.75" hidden="1" customHeight="1" x14ac:dyDescent="0.25"/>
    <row r="858" ht="15.75" hidden="1" customHeight="1" x14ac:dyDescent="0.25"/>
    <row r="859" ht="15.75" hidden="1" customHeight="1" x14ac:dyDescent="0.25"/>
    <row r="860" ht="15.75" hidden="1" customHeight="1" x14ac:dyDescent="0.25"/>
    <row r="861" ht="15.75" hidden="1" customHeight="1" x14ac:dyDescent="0.25"/>
    <row r="862" ht="15.75" hidden="1" customHeight="1" x14ac:dyDescent="0.25"/>
    <row r="863" ht="15.75" hidden="1" customHeight="1" x14ac:dyDescent="0.25"/>
    <row r="864" ht="15.75" hidden="1" customHeight="1" x14ac:dyDescent="0.25"/>
    <row r="865" ht="15.75" hidden="1" customHeight="1" x14ac:dyDescent="0.25"/>
    <row r="866" ht="15.75" hidden="1" customHeight="1" x14ac:dyDescent="0.25"/>
    <row r="867" ht="15.75" hidden="1" customHeight="1" x14ac:dyDescent="0.25"/>
    <row r="868" ht="15.75" hidden="1" customHeight="1" x14ac:dyDescent="0.25"/>
    <row r="869" ht="15.75" hidden="1" customHeight="1" x14ac:dyDescent="0.25"/>
    <row r="870" ht="15.75" hidden="1" customHeight="1" x14ac:dyDescent="0.25"/>
    <row r="871" ht="15.75" hidden="1" customHeight="1" x14ac:dyDescent="0.25"/>
    <row r="872" ht="15.75" hidden="1" customHeight="1" x14ac:dyDescent="0.25"/>
    <row r="873" ht="15.75" hidden="1" customHeight="1" x14ac:dyDescent="0.25"/>
    <row r="874" ht="15.75" hidden="1" customHeight="1" x14ac:dyDescent="0.25"/>
    <row r="875" ht="15.75" hidden="1" customHeight="1" x14ac:dyDescent="0.25"/>
    <row r="876" ht="15.75" hidden="1" customHeight="1" x14ac:dyDescent="0.25"/>
    <row r="877" ht="15.75" hidden="1" customHeight="1" x14ac:dyDescent="0.25"/>
    <row r="878" ht="15.75" hidden="1" customHeight="1" x14ac:dyDescent="0.25"/>
    <row r="879" ht="15.75" hidden="1" customHeight="1" x14ac:dyDescent="0.25"/>
    <row r="880" ht="15.75" hidden="1" customHeight="1" x14ac:dyDescent="0.25"/>
    <row r="881" ht="15.75" hidden="1" customHeight="1" x14ac:dyDescent="0.25"/>
    <row r="882" ht="15.75" hidden="1" customHeight="1" x14ac:dyDescent="0.25"/>
    <row r="883" ht="15.75" hidden="1" customHeight="1" x14ac:dyDescent="0.25"/>
    <row r="884" ht="15.75" hidden="1" customHeight="1" x14ac:dyDescent="0.25"/>
    <row r="885" ht="15.75" hidden="1" customHeight="1" x14ac:dyDescent="0.25"/>
    <row r="886" ht="15.75" hidden="1" customHeight="1" x14ac:dyDescent="0.25"/>
    <row r="887" ht="15.75" hidden="1" customHeight="1" x14ac:dyDescent="0.25"/>
    <row r="888" ht="15.75" hidden="1" customHeight="1" x14ac:dyDescent="0.25"/>
    <row r="889" ht="15.75" hidden="1" customHeight="1" x14ac:dyDescent="0.25"/>
    <row r="890" ht="15.75" hidden="1" customHeight="1" x14ac:dyDescent="0.25"/>
    <row r="891" ht="15.75" hidden="1" customHeight="1" x14ac:dyDescent="0.25"/>
    <row r="892" ht="15.75" hidden="1" customHeight="1" x14ac:dyDescent="0.25"/>
    <row r="893" ht="15.75" hidden="1" customHeight="1" x14ac:dyDescent="0.25"/>
    <row r="894" ht="15.75" hidden="1" customHeight="1" x14ac:dyDescent="0.25"/>
    <row r="895" ht="15.75" hidden="1" customHeight="1" x14ac:dyDescent="0.25"/>
    <row r="896" ht="15.75" hidden="1" customHeight="1" x14ac:dyDescent="0.25"/>
    <row r="897" ht="15.75" hidden="1" customHeight="1" x14ac:dyDescent="0.25"/>
    <row r="898" ht="15.75" hidden="1" customHeight="1" x14ac:dyDescent="0.25"/>
    <row r="899" ht="15.75" hidden="1" customHeight="1" x14ac:dyDescent="0.25"/>
    <row r="900" ht="15.75" hidden="1" customHeight="1" x14ac:dyDescent="0.25"/>
    <row r="901" ht="15.75" hidden="1" customHeight="1" x14ac:dyDescent="0.25"/>
    <row r="902" ht="15.75" hidden="1" customHeight="1" x14ac:dyDescent="0.25"/>
    <row r="903" ht="15.75" hidden="1" customHeight="1" x14ac:dyDescent="0.25"/>
    <row r="904" ht="15.75" hidden="1" customHeight="1" x14ac:dyDescent="0.25"/>
    <row r="905" ht="15.75" hidden="1" customHeight="1" x14ac:dyDescent="0.25"/>
    <row r="906" ht="15.75" hidden="1" customHeight="1" x14ac:dyDescent="0.25"/>
    <row r="907" ht="15.75" hidden="1" customHeight="1" x14ac:dyDescent="0.25"/>
    <row r="908" ht="15.75" hidden="1" customHeight="1" x14ac:dyDescent="0.25"/>
    <row r="909" ht="15.75" hidden="1" customHeight="1" x14ac:dyDescent="0.25"/>
    <row r="910" ht="15.75" hidden="1" customHeight="1" x14ac:dyDescent="0.25"/>
    <row r="911" ht="15.75" hidden="1" customHeight="1" x14ac:dyDescent="0.25"/>
    <row r="912" ht="15.75" hidden="1" customHeight="1" x14ac:dyDescent="0.25"/>
    <row r="913" ht="15.75" hidden="1" customHeight="1" x14ac:dyDescent="0.25"/>
    <row r="914" ht="15.75" hidden="1" customHeight="1" x14ac:dyDescent="0.25"/>
    <row r="915" ht="15.75" hidden="1" customHeight="1" x14ac:dyDescent="0.25"/>
    <row r="916" ht="15.75" hidden="1" customHeight="1" x14ac:dyDescent="0.25"/>
    <row r="917" ht="15.75" hidden="1" customHeight="1" x14ac:dyDescent="0.25"/>
    <row r="918" ht="15.75" hidden="1" customHeight="1" x14ac:dyDescent="0.25"/>
    <row r="919" ht="15.75" hidden="1" customHeight="1" x14ac:dyDescent="0.25"/>
    <row r="920" ht="15.75" hidden="1" customHeight="1" x14ac:dyDescent="0.25"/>
    <row r="921" ht="15.75" hidden="1" customHeight="1" x14ac:dyDescent="0.25"/>
    <row r="922" ht="15.75" hidden="1" customHeight="1" x14ac:dyDescent="0.25"/>
    <row r="923" ht="15.75" hidden="1" customHeight="1" x14ac:dyDescent="0.25"/>
    <row r="924" ht="15.75" hidden="1" customHeight="1" x14ac:dyDescent="0.25"/>
    <row r="925" ht="15.75" hidden="1" customHeight="1" x14ac:dyDescent="0.25"/>
    <row r="926" ht="15.75" hidden="1" customHeight="1" x14ac:dyDescent="0.25"/>
    <row r="927" ht="15.75" hidden="1" customHeight="1" x14ac:dyDescent="0.25"/>
    <row r="928" ht="15.75" hidden="1" customHeight="1" x14ac:dyDescent="0.25"/>
    <row r="929" ht="15.75" hidden="1" customHeight="1" x14ac:dyDescent="0.25"/>
    <row r="930" ht="15.75" hidden="1" customHeight="1" x14ac:dyDescent="0.25"/>
    <row r="931" ht="15.75" hidden="1" customHeight="1" x14ac:dyDescent="0.25"/>
    <row r="932" ht="15.75" hidden="1" customHeight="1" x14ac:dyDescent="0.25"/>
    <row r="933" ht="15.75" hidden="1" customHeight="1" x14ac:dyDescent="0.25"/>
    <row r="934" ht="15.75" hidden="1" customHeight="1" x14ac:dyDescent="0.25"/>
    <row r="935" ht="15.75" hidden="1" customHeight="1" x14ac:dyDescent="0.25"/>
    <row r="936" ht="15.75" hidden="1" customHeight="1" x14ac:dyDescent="0.25"/>
    <row r="937" ht="15.75" hidden="1" customHeight="1" x14ac:dyDescent="0.25"/>
    <row r="938" ht="15.75" hidden="1" customHeight="1" x14ac:dyDescent="0.25"/>
    <row r="939" ht="15.75" hidden="1" customHeight="1" x14ac:dyDescent="0.25"/>
    <row r="940" ht="15.75" hidden="1" customHeight="1" x14ac:dyDescent="0.25"/>
    <row r="941" ht="15.75" hidden="1" customHeight="1" x14ac:dyDescent="0.25"/>
    <row r="942" ht="15.75" hidden="1" customHeight="1" x14ac:dyDescent="0.25"/>
    <row r="943" ht="15.75" hidden="1" customHeight="1" x14ac:dyDescent="0.25"/>
    <row r="944" ht="15.75" hidden="1" customHeight="1" x14ac:dyDescent="0.25"/>
    <row r="945" ht="15.75" hidden="1" customHeight="1" x14ac:dyDescent="0.25"/>
    <row r="946" ht="15.75" hidden="1" customHeight="1" x14ac:dyDescent="0.25"/>
    <row r="947" ht="15.75" hidden="1" customHeight="1" x14ac:dyDescent="0.25"/>
    <row r="948" ht="15.75" hidden="1" customHeight="1" x14ac:dyDescent="0.25"/>
    <row r="949" ht="15.75" hidden="1" customHeight="1" x14ac:dyDescent="0.25"/>
    <row r="950" ht="15.75" hidden="1" customHeight="1" x14ac:dyDescent="0.25"/>
    <row r="951" ht="15.75" hidden="1" customHeight="1" x14ac:dyDescent="0.25"/>
    <row r="952" ht="15.75" hidden="1" customHeight="1" x14ac:dyDescent="0.25"/>
    <row r="953" ht="15.75" hidden="1" customHeight="1" x14ac:dyDescent="0.25"/>
    <row r="954" ht="15.75" hidden="1" customHeight="1" x14ac:dyDescent="0.25"/>
    <row r="955" ht="15.75" hidden="1" customHeight="1" x14ac:dyDescent="0.25"/>
    <row r="956" ht="15.75" hidden="1" customHeight="1" x14ac:dyDescent="0.25"/>
    <row r="957" ht="15.75" hidden="1" customHeight="1" x14ac:dyDescent="0.25"/>
    <row r="958" ht="15.75" hidden="1" customHeight="1" x14ac:dyDescent="0.25"/>
    <row r="959" ht="15.75" hidden="1" customHeight="1" x14ac:dyDescent="0.25"/>
    <row r="960" ht="15.75" hidden="1" customHeight="1" x14ac:dyDescent="0.25"/>
    <row r="961" ht="15.75" hidden="1" customHeight="1" x14ac:dyDescent="0.25"/>
    <row r="962" ht="15.75" hidden="1" customHeight="1" x14ac:dyDescent="0.25"/>
    <row r="963" ht="15.75" hidden="1" customHeight="1" x14ac:dyDescent="0.25"/>
    <row r="964" ht="15.75" hidden="1" customHeight="1" x14ac:dyDescent="0.25"/>
    <row r="965" ht="15.75" hidden="1" customHeight="1" x14ac:dyDescent="0.25"/>
    <row r="966" ht="15.75" hidden="1" customHeight="1" x14ac:dyDescent="0.25"/>
    <row r="967" ht="15.75" hidden="1" customHeight="1" x14ac:dyDescent="0.25"/>
    <row r="968" ht="15.75" hidden="1" customHeight="1" x14ac:dyDescent="0.25"/>
    <row r="969" ht="15.75" hidden="1" customHeight="1" x14ac:dyDescent="0.25"/>
    <row r="970" ht="15.75" hidden="1" customHeight="1" x14ac:dyDescent="0.25"/>
    <row r="971" ht="15.75" hidden="1" customHeight="1" x14ac:dyDescent="0.25"/>
    <row r="972" ht="15.75" hidden="1" customHeight="1" x14ac:dyDescent="0.25"/>
    <row r="973" ht="15.75" hidden="1" customHeight="1" x14ac:dyDescent="0.25"/>
    <row r="974" ht="15.75" hidden="1" customHeight="1" x14ac:dyDescent="0.25"/>
    <row r="975" ht="15.75" hidden="1" customHeight="1" x14ac:dyDescent="0.25"/>
    <row r="976" ht="15.75" hidden="1" customHeight="1" x14ac:dyDescent="0.25"/>
    <row r="977" ht="15.75" hidden="1" customHeight="1" x14ac:dyDescent="0.25"/>
    <row r="978" ht="15.75" hidden="1" customHeight="1" x14ac:dyDescent="0.25"/>
    <row r="979" ht="15.75" hidden="1" customHeight="1" x14ac:dyDescent="0.25"/>
    <row r="980" ht="15.75" hidden="1" customHeight="1" x14ac:dyDescent="0.25"/>
    <row r="981" ht="15.75" hidden="1" customHeight="1" x14ac:dyDescent="0.25"/>
    <row r="982" ht="15.75" hidden="1" customHeight="1" x14ac:dyDescent="0.25"/>
    <row r="983" ht="15.75" hidden="1" customHeight="1" x14ac:dyDescent="0.25"/>
    <row r="984" ht="15.75" hidden="1" customHeight="1" x14ac:dyDescent="0.25"/>
    <row r="985" ht="15.75" hidden="1" customHeight="1" x14ac:dyDescent="0.25"/>
    <row r="986" ht="15.75" hidden="1" customHeight="1" x14ac:dyDescent="0.25"/>
    <row r="987" ht="15.75" hidden="1" customHeight="1" x14ac:dyDescent="0.25"/>
    <row r="988" ht="15.75" hidden="1" customHeight="1" x14ac:dyDescent="0.25"/>
    <row r="989" ht="15.75" hidden="1" customHeight="1" x14ac:dyDescent="0.25"/>
    <row r="990" ht="15.75" hidden="1" customHeight="1" x14ac:dyDescent="0.25"/>
    <row r="991" ht="15.75" hidden="1" customHeight="1" x14ac:dyDescent="0.25"/>
    <row r="992" ht="15.75" hidden="1" customHeight="1" x14ac:dyDescent="0.25"/>
    <row r="993" ht="15.75" hidden="1" customHeight="1" x14ac:dyDescent="0.25"/>
    <row r="994" ht="15.75" hidden="1" customHeight="1" x14ac:dyDescent="0.25"/>
    <row r="995" ht="15.75" hidden="1" customHeight="1" x14ac:dyDescent="0.25"/>
    <row r="996" ht="15.75" hidden="1" customHeight="1" x14ac:dyDescent="0.25"/>
    <row r="997" ht="15.75" hidden="1" customHeight="1" x14ac:dyDescent="0.25"/>
    <row r="998" ht="15.75" hidden="1" customHeight="1" x14ac:dyDescent="0.25"/>
    <row r="999" ht="15.75" hidden="1" customHeight="1" x14ac:dyDescent="0.25"/>
    <row r="1000" ht="15.75" hidden="1" customHeight="1" x14ac:dyDescent="0.25"/>
  </sheetData>
  <sheetProtection algorithmName="SHA-512" hashValue="vksNRdb7CTUx1wAKpkzENH0iEqIttLdaC/SMqMVQGDYX83w/eWjlV+3mVqPV4LtpxnPgIJtNK/08COFec4EchA==" saltValue="wYiUdRx/ZSdPsiqh2b+s7g==" spinCount="100000" sheet="1" objects="1" scenarios="1"/>
  <mergeCells count="17">
    <mergeCell ref="D3:D4"/>
    <mergeCell ref="E3:E4"/>
    <mergeCell ref="F3:F4"/>
    <mergeCell ref="L3:M3"/>
    <mergeCell ref="N3:O3"/>
    <mergeCell ref="J4:K6"/>
    <mergeCell ref="N9:O9"/>
    <mergeCell ref="N10:O10"/>
    <mergeCell ref="J1:O1"/>
    <mergeCell ref="J2:K3"/>
    <mergeCell ref="L2:M2"/>
    <mergeCell ref="N2:O2"/>
    <mergeCell ref="J7:K8"/>
    <mergeCell ref="D8:E8"/>
    <mergeCell ref="L8:M8"/>
    <mergeCell ref="J9:K10"/>
    <mergeCell ref="L9:M9"/>
  </mergeCells>
  <dataValidations count="1">
    <dataValidation allowBlank="1" showErrorMessage="1" sqref="I8"/>
  </dataValidations>
  <pageMargins left="0.7" right="0.7" top="0.75" bottom="0.75" header="0.3" footer="0.3"/>
  <pageSetup paperSize="0" orientation="portrait" horizontalDpi="0" verticalDpi="0" copies="0"/>
  <ignoredErrors>
    <ignoredError sqref="B11:B13 H12 I9" evalError="1"/>
  </ignoredErrors>
  <drawing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>
          <x14:formula1>
            <xm:f>'FOOD SHEET 1'!$Q$26:$Q$29</xm:f>
          </x14:formula1>
          <xm:sqref>I10</xm:sqref>
        </x14:dataValidation>
        <x14:dataValidation type="list" allowBlank="1" showErrorMessage="1">
          <x14:formula1>
            <xm:f>'FOOD SHEET 1'!$Q$31:$Q$33</xm:f>
          </x14:formula1>
          <xm:sqref>I3</xm:sqref>
        </x14:dataValidation>
        <x14:dataValidation type="list" allowBlank="1" showErrorMessage="1">
          <x14:formula1>
            <xm:f>'FOOD SHEET 1'!$K$13:$K$18</xm:f>
          </x14:formula1>
          <xm:sqref>I7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Z1001"/>
  <sheetViews>
    <sheetView zoomScale="85" zoomScaleNormal="85" workbookViewId="0">
      <pane ySplit="8" topLeftCell="A9" activePane="bottomLeft" state="frozen"/>
      <selection pane="bottomLeft" activeCell="D3" sqref="D3:D4"/>
    </sheetView>
  </sheetViews>
  <sheetFormatPr defaultColWidth="0" defaultRowHeight="15" customHeight="1" zeroHeight="1" x14ac:dyDescent="0.25"/>
  <cols>
    <col min="1" max="3" width="14.7109375" customWidth="1"/>
    <col min="4" max="4" width="36.5703125" customWidth="1"/>
    <col min="5" max="5" width="9.5703125" customWidth="1"/>
    <col min="6" max="6" width="8.7109375" customWidth="1"/>
    <col min="7" max="7" width="10.28515625" customWidth="1"/>
    <col min="8" max="8" width="8.7109375" customWidth="1"/>
    <col min="9" max="9" width="10.85546875" customWidth="1"/>
    <col min="10" max="10" width="17.42578125" customWidth="1"/>
    <col min="11" max="12" width="14.7109375" customWidth="1"/>
    <col min="13" max="13" width="14.7109375" style="36" customWidth="1"/>
    <col min="14" max="26" width="0" hidden="1" customWidth="1"/>
    <col min="27" max="16384" width="14.42578125" hidden="1"/>
  </cols>
  <sheetData>
    <row r="1" spans="1:26" ht="15" customHeight="1" x14ac:dyDescent="0.3">
      <c r="A1" s="2"/>
      <c r="B1" s="2"/>
      <c r="C1" s="2"/>
      <c r="D1" s="3"/>
      <c r="E1" s="4"/>
      <c r="F1" s="5"/>
      <c r="G1" s="6"/>
      <c r="H1" s="6"/>
      <c r="I1" s="2"/>
      <c r="J1" s="2"/>
      <c r="K1" s="2"/>
      <c r="L1" s="2"/>
      <c r="M1" s="29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15" customHeight="1" x14ac:dyDescent="0.3">
      <c r="A2" s="2"/>
      <c r="B2" s="2"/>
      <c r="C2" s="2"/>
      <c r="D2" s="61" t="s">
        <v>1</v>
      </c>
      <c r="E2" s="155" t="s">
        <v>6</v>
      </c>
      <c r="F2" s="156" t="s">
        <v>7</v>
      </c>
      <c r="G2" s="169" t="s">
        <v>3</v>
      </c>
      <c r="H2" s="167" t="s">
        <v>4</v>
      </c>
      <c r="I2" s="165" t="s">
        <v>300</v>
      </c>
      <c r="J2" s="2"/>
      <c r="K2" s="2"/>
      <c r="L2" s="2"/>
      <c r="M2" s="29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15" customHeight="1" x14ac:dyDescent="0.3">
      <c r="A3" s="2"/>
      <c r="B3" s="2"/>
      <c r="C3" s="2"/>
      <c r="D3" s="171"/>
      <c r="E3" s="155"/>
      <c r="F3" s="156"/>
      <c r="G3" s="170"/>
      <c r="H3" s="168"/>
      <c r="I3" s="166"/>
      <c r="J3" s="2"/>
      <c r="K3" s="2"/>
      <c r="L3" s="2"/>
      <c r="M3" s="29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18.75" x14ac:dyDescent="0.3">
      <c r="A4" s="2"/>
      <c r="B4" s="2"/>
      <c r="C4" s="2"/>
      <c r="D4" s="172"/>
      <c r="E4" s="121" t="s">
        <v>9</v>
      </c>
      <c r="F4" s="122">
        <f>G26+G43+G60+G77+G94+G111+G128</f>
        <v>0</v>
      </c>
      <c r="G4" s="123" t="e">
        <f>F4-H4</f>
        <v>#N/A</v>
      </c>
      <c r="H4" s="124" t="e">
        <f>'Information - wk 4 &amp; 5'!E6</f>
        <v>#N/A</v>
      </c>
      <c r="I4" s="120">
        <f>'Information - wk 4 &amp; 5'!I10</f>
        <v>0</v>
      </c>
      <c r="J4" s="2"/>
      <c r="K4" s="2"/>
      <c r="L4" s="2"/>
      <c r="M4" s="29"/>
      <c r="N4" s="7"/>
      <c r="O4" s="24" t="e">
        <f>IF(OR(AND(G4&gt;5,G4&lt;=10),AND(G4&lt;-5,G4&gt;=-10)),1,0)</f>
        <v>#N/A</v>
      </c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15" customHeight="1" x14ac:dyDescent="0.3">
      <c r="A5" s="2"/>
      <c r="B5" s="2"/>
      <c r="C5" s="2"/>
      <c r="D5" s="3"/>
      <c r="E5" s="125" t="s">
        <v>16</v>
      </c>
      <c r="F5" s="126">
        <f>H26+H43+H60+H77+H94+H111+H128</f>
        <v>0</v>
      </c>
      <c r="G5" s="127" t="e">
        <f t="shared" ref="G5:G7" si="0">F5-H5</f>
        <v>#N/A</v>
      </c>
      <c r="H5" s="41" t="e">
        <f>'Information - wk 4 &amp; 5'!E7</f>
        <v>#N/A</v>
      </c>
      <c r="I5" s="2"/>
      <c r="J5" s="2"/>
      <c r="K5" s="2"/>
      <c r="L5" s="2"/>
      <c r="M5" s="29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15" customHeight="1" x14ac:dyDescent="0.3">
      <c r="A6" s="2"/>
      <c r="B6" s="2"/>
      <c r="C6" s="2"/>
      <c r="D6" s="3"/>
      <c r="E6" s="125" t="s">
        <v>17</v>
      </c>
      <c r="F6" s="126">
        <f>I26+I43+I60+I77+I94+I111+I128</f>
        <v>0</v>
      </c>
      <c r="G6" s="127" t="e">
        <f t="shared" si="0"/>
        <v>#N/A</v>
      </c>
      <c r="H6" s="41" t="e">
        <f>'Information - wk 4 &amp; 5'!E5</f>
        <v>#N/A</v>
      </c>
      <c r="I6" s="2"/>
      <c r="J6" s="2"/>
      <c r="K6" s="2"/>
      <c r="L6" s="2"/>
      <c r="M6" s="29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15" customHeight="1" x14ac:dyDescent="0.3">
      <c r="A7" s="2"/>
      <c r="B7" s="2"/>
      <c r="C7" s="2"/>
      <c r="D7" s="3"/>
      <c r="E7" s="125" t="s">
        <v>12</v>
      </c>
      <c r="F7" s="126">
        <f>(F4*4)+(F5*9)+(F6*4)</f>
        <v>0</v>
      </c>
      <c r="G7" s="127" t="e">
        <f t="shared" si="0"/>
        <v>#N/A</v>
      </c>
      <c r="H7" s="41" t="e">
        <f>(H4*4)+(H5*9)+(H6*4)</f>
        <v>#N/A</v>
      </c>
      <c r="I7" s="2"/>
      <c r="J7" s="2"/>
      <c r="K7" s="2"/>
      <c r="L7" s="2"/>
      <c r="M7" s="29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18.75" x14ac:dyDescent="0.3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9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s="22" customFormat="1" ht="18.75" x14ac:dyDescent="0.3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9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18.75" x14ac:dyDescent="0.3">
      <c r="A10" s="2"/>
      <c r="B10" s="2"/>
      <c r="C10" s="2"/>
      <c r="D10" s="2"/>
      <c r="E10" s="13"/>
      <c r="F10" s="13"/>
      <c r="G10" s="13"/>
      <c r="H10" s="13"/>
      <c r="I10" s="13"/>
      <c r="J10" s="13"/>
      <c r="K10" s="2"/>
      <c r="L10" s="2"/>
      <c r="M10" s="29"/>
    </row>
    <row r="11" spans="1:26" ht="15.75" customHeight="1" thickBot="1" x14ac:dyDescent="0.35">
      <c r="A11" s="2"/>
      <c r="B11" s="2"/>
      <c r="C11" s="2"/>
      <c r="D11" s="14" t="s">
        <v>24</v>
      </c>
      <c r="E11" s="15"/>
      <c r="F11" s="15"/>
      <c r="G11" s="15"/>
      <c r="H11" s="15"/>
      <c r="I11" s="15"/>
      <c r="J11" s="15"/>
      <c r="K11" s="2"/>
      <c r="L11" s="2"/>
      <c r="M11" s="29"/>
    </row>
    <row r="12" spans="1:26" ht="16.5" customHeight="1" thickTop="1" thickBot="1" x14ac:dyDescent="0.3">
      <c r="A12" s="16"/>
      <c r="B12" s="16"/>
      <c r="C12" s="47"/>
      <c r="D12" s="157" t="s">
        <v>29</v>
      </c>
      <c r="E12" s="161" t="s">
        <v>31</v>
      </c>
      <c r="F12" s="157" t="s">
        <v>32</v>
      </c>
      <c r="G12" s="54" t="s">
        <v>9</v>
      </c>
      <c r="H12" s="50" t="s">
        <v>16</v>
      </c>
      <c r="I12" s="54" t="s">
        <v>17</v>
      </c>
      <c r="J12" s="163" t="s">
        <v>40</v>
      </c>
      <c r="K12" s="47"/>
      <c r="L12" s="16"/>
      <c r="M12" s="30"/>
    </row>
    <row r="13" spans="1:26" ht="16.5" thickTop="1" thickBot="1" x14ac:dyDescent="0.3">
      <c r="A13" s="16"/>
      <c r="B13" s="16"/>
      <c r="C13" s="47"/>
      <c r="D13" s="158"/>
      <c r="E13" s="162"/>
      <c r="F13" s="160"/>
      <c r="G13" s="54" t="s">
        <v>7</v>
      </c>
      <c r="H13" s="50" t="s">
        <v>7</v>
      </c>
      <c r="I13" s="54" t="s">
        <v>7</v>
      </c>
      <c r="J13" s="164"/>
      <c r="K13" s="47"/>
      <c r="L13" s="16"/>
      <c r="M13" s="30"/>
    </row>
    <row r="14" spans="1:26" ht="16.5" thickTop="1" thickBot="1" x14ac:dyDescent="0.3">
      <c r="A14" s="17"/>
      <c r="B14" s="17"/>
      <c r="C14" s="48"/>
      <c r="D14" s="59"/>
      <c r="E14" s="57" t="str">
        <f>IFERROR(VLOOKUP($D14,'FOOD SHEET 1'!$B:$H,2,0),"")</f>
        <v/>
      </c>
      <c r="F14" s="58"/>
      <c r="G14" s="53" t="str">
        <f>IFERROR(VLOOKUP($D14,'FOOD SHEET 1'!$B:$H,4,0),"")</f>
        <v/>
      </c>
      <c r="H14" s="51" t="str">
        <f>IFERROR(VLOOKUP($D14,'FOOD SHEET 1'!$B:$H,5,0),"")</f>
        <v/>
      </c>
      <c r="I14" s="53" t="str">
        <f>IFERROR(VLOOKUP($D14,'FOOD SHEET 1'!$B:$H,6,0),"")</f>
        <v/>
      </c>
      <c r="J14" s="52" t="str">
        <f>IFERROR(VLOOKUP($D14,'FOOD SHEET 1'!$B:$H,7,0),"")</f>
        <v/>
      </c>
      <c r="K14" s="48"/>
      <c r="L14" s="17"/>
      <c r="M14" s="31"/>
    </row>
    <row r="15" spans="1:26" ht="16.5" thickTop="1" thickBot="1" x14ac:dyDescent="0.3">
      <c r="A15" s="17"/>
      <c r="B15" s="17"/>
      <c r="C15" s="48"/>
      <c r="D15" s="59"/>
      <c r="E15" s="57" t="str">
        <f>IFERROR(VLOOKUP($D15,'FOOD SHEET 1'!$B:$H,2,0),"")</f>
        <v/>
      </c>
      <c r="F15" s="58"/>
      <c r="G15" s="53" t="str">
        <f>IFERROR(VLOOKUP($D15,'FOOD SHEET 1'!$B:$H,4,0),"")</f>
        <v/>
      </c>
      <c r="H15" s="51" t="str">
        <f>IFERROR(VLOOKUP($D15,'FOOD SHEET 1'!$B:$H,5,0),"")</f>
        <v/>
      </c>
      <c r="I15" s="53" t="str">
        <f>IFERROR(VLOOKUP($D15,'FOOD SHEET 1'!$B:$H,6,0),"")</f>
        <v/>
      </c>
      <c r="J15" s="52" t="str">
        <f>IFERROR(VLOOKUP($D15,'FOOD SHEET 1'!$B:$H,7,0),"")</f>
        <v/>
      </c>
      <c r="K15" s="48"/>
      <c r="L15" s="17"/>
      <c r="M15" s="31"/>
    </row>
    <row r="16" spans="1:26" ht="16.5" thickTop="1" thickBot="1" x14ac:dyDescent="0.3">
      <c r="A16" s="17"/>
      <c r="B16" s="17"/>
      <c r="C16" s="48"/>
      <c r="D16" s="59"/>
      <c r="E16" s="57" t="str">
        <f>IFERROR(VLOOKUP($D16,'FOOD SHEET 1'!$B:$H,2,0),"")</f>
        <v/>
      </c>
      <c r="F16" s="58"/>
      <c r="G16" s="53" t="str">
        <f>IFERROR(VLOOKUP($D16,'FOOD SHEET 1'!$B:$H,4,0),"")</f>
        <v/>
      </c>
      <c r="H16" s="51" t="str">
        <f>IFERROR(VLOOKUP($D16,'FOOD SHEET 1'!$B:$H,5,0),"")</f>
        <v/>
      </c>
      <c r="I16" s="53" t="str">
        <f>IFERROR(VLOOKUP($D16,'FOOD SHEET 1'!$B:$H,6,0),"")</f>
        <v/>
      </c>
      <c r="J16" s="52" t="str">
        <f>IFERROR(VLOOKUP($D16,'FOOD SHEET 1'!$B:$H,7,0),"")</f>
        <v/>
      </c>
      <c r="K16" s="48"/>
      <c r="L16" s="17"/>
      <c r="M16" s="31"/>
    </row>
    <row r="17" spans="1:26" ht="16.5" thickTop="1" thickBot="1" x14ac:dyDescent="0.3">
      <c r="A17" s="17"/>
      <c r="B17" s="17"/>
      <c r="C17" s="48"/>
      <c r="D17" s="60"/>
      <c r="E17" s="57" t="str">
        <f>IFERROR(VLOOKUP($D17,'FOOD SHEET 1'!$B:$H,2,0),"")</f>
        <v/>
      </c>
      <c r="F17" s="58"/>
      <c r="G17" s="53" t="str">
        <f>IFERROR(VLOOKUP($D17,'FOOD SHEET 1'!$B:$H,4,0),"")</f>
        <v/>
      </c>
      <c r="H17" s="51" t="str">
        <f>IFERROR(VLOOKUP($D17,'FOOD SHEET 1'!$B:$H,5,0),"")</f>
        <v/>
      </c>
      <c r="I17" s="53" t="str">
        <f>IFERROR(VLOOKUP($D17,'FOOD SHEET 1'!$B:$H,6,0),"")</f>
        <v/>
      </c>
      <c r="J17" s="52" t="str">
        <f>IFERROR(VLOOKUP($D17,'FOOD SHEET 1'!$B:$H,7,0),"")</f>
        <v/>
      </c>
      <c r="K17" s="48"/>
      <c r="L17" s="17"/>
      <c r="M17" s="31"/>
    </row>
    <row r="18" spans="1:26" ht="16.5" thickTop="1" thickBot="1" x14ac:dyDescent="0.3">
      <c r="A18" s="5"/>
      <c r="B18" s="5"/>
      <c r="C18" s="49"/>
      <c r="D18" s="60"/>
      <c r="E18" s="57" t="str">
        <f>IFERROR(VLOOKUP($D18,'FOOD SHEET 1'!$B:$H,2,0),"")</f>
        <v/>
      </c>
      <c r="F18" s="58"/>
      <c r="G18" s="53" t="str">
        <f>IFERROR(VLOOKUP($D18,'FOOD SHEET 1'!$B:$H,4,0),"")</f>
        <v/>
      </c>
      <c r="H18" s="51" t="str">
        <f>IFERROR(VLOOKUP($D18,'FOOD SHEET 1'!$B:$H,5,0),"")</f>
        <v/>
      </c>
      <c r="I18" s="53" t="str">
        <f>IFERROR(VLOOKUP($D18,'FOOD SHEET 1'!$B:$H,6,0),"")</f>
        <v/>
      </c>
      <c r="J18" s="52" t="str">
        <f>IFERROR(VLOOKUP($D18,'FOOD SHEET 1'!$B:$H,7,0),"")</f>
        <v/>
      </c>
      <c r="K18" s="49"/>
      <c r="L18" s="5"/>
      <c r="M18" s="32"/>
    </row>
    <row r="19" spans="1:26" ht="16.5" thickTop="1" thickBot="1" x14ac:dyDescent="0.3">
      <c r="A19" s="5"/>
      <c r="B19" s="5"/>
      <c r="C19" s="49"/>
      <c r="D19" s="60"/>
      <c r="E19" s="57" t="str">
        <f>IFERROR(VLOOKUP($D19,'FOOD SHEET 1'!$B:$H,2,0),"")</f>
        <v/>
      </c>
      <c r="F19" s="58"/>
      <c r="G19" s="53" t="str">
        <f>IFERROR(VLOOKUP($D19,'FOOD SHEET 1'!$B:$H,4,0),"")</f>
        <v/>
      </c>
      <c r="H19" s="51" t="str">
        <f>IFERROR(VLOOKUP($D19,'FOOD SHEET 1'!$B:$H,5,0),"")</f>
        <v/>
      </c>
      <c r="I19" s="53" t="str">
        <f>IFERROR(VLOOKUP($D19,'FOOD SHEET 1'!$B:$H,6,0),"")</f>
        <v/>
      </c>
      <c r="J19" s="52" t="str">
        <f>IFERROR(VLOOKUP($D19,'FOOD SHEET 1'!$B:$H,7,0),"")</f>
        <v/>
      </c>
      <c r="K19" s="49"/>
      <c r="L19" s="5"/>
      <c r="M19" s="32"/>
    </row>
    <row r="20" spans="1:26" ht="16.5" thickTop="1" thickBot="1" x14ac:dyDescent="0.3">
      <c r="A20" s="5"/>
      <c r="B20" s="5"/>
      <c r="C20" s="49"/>
      <c r="D20" s="60"/>
      <c r="E20" s="57" t="str">
        <f>IFERROR(VLOOKUP($D20,'FOOD SHEET 1'!$B:$H,2,0),"")</f>
        <v/>
      </c>
      <c r="F20" s="58"/>
      <c r="G20" s="53" t="str">
        <f>IFERROR(VLOOKUP($D20,'FOOD SHEET 1'!$B:$H,4,0),"")</f>
        <v/>
      </c>
      <c r="H20" s="51" t="str">
        <f>IFERROR(VLOOKUP($D20,'FOOD SHEET 1'!$B:$H,5,0),"")</f>
        <v/>
      </c>
      <c r="I20" s="53" t="str">
        <f>IFERROR(VLOOKUP($D20,'FOOD SHEET 1'!$B:$H,6,0),"")</f>
        <v/>
      </c>
      <c r="J20" s="52" t="str">
        <f>IFERROR(VLOOKUP($D20,'FOOD SHEET 1'!$B:$H,7,0),"")</f>
        <v/>
      </c>
      <c r="K20" s="49"/>
      <c r="L20" s="5"/>
      <c r="M20" s="32"/>
    </row>
    <row r="21" spans="1:26" ht="16.5" thickTop="1" thickBot="1" x14ac:dyDescent="0.3">
      <c r="A21" s="5"/>
      <c r="B21" s="5"/>
      <c r="C21" s="49"/>
      <c r="D21" s="60"/>
      <c r="E21" s="57" t="str">
        <f>IFERROR(VLOOKUP($D21,'FOOD SHEET 1'!$B:$H,2,0),"")</f>
        <v/>
      </c>
      <c r="F21" s="58"/>
      <c r="G21" s="53" t="str">
        <f>IFERROR(VLOOKUP($D21,'FOOD SHEET 1'!$B:$H,4,0),"")</f>
        <v/>
      </c>
      <c r="H21" s="51" t="str">
        <f>IFERROR(VLOOKUP($D21,'FOOD SHEET 1'!$B:$H,5,0),"")</f>
        <v/>
      </c>
      <c r="I21" s="53" t="str">
        <f>IFERROR(VLOOKUP($D21,'FOOD SHEET 1'!$B:$H,6,0),"")</f>
        <v/>
      </c>
      <c r="J21" s="52" t="str">
        <f>IFERROR(VLOOKUP($D21,'FOOD SHEET 1'!$B:$H,7,0),"")</f>
        <v/>
      </c>
      <c r="K21" s="49"/>
      <c r="L21" s="5"/>
      <c r="M21" s="32"/>
    </row>
    <row r="22" spans="1:26" ht="15.75" customHeight="1" thickTop="1" thickBot="1" x14ac:dyDescent="0.3">
      <c r="A22" s="5"/>
      <c r="B22" s="5"/>
      <c r="C22" s="49"/>
      <c r="D22" s="60"/>
      <c r="E22" s="57" t="str">
        <f>IFERROR(VLOOKUP($D22,'FOOD SHEET 1'!$B:$H,2,0),"")</f>
        <v/>
      </c>
      <c r="F22" s="58"/>
      <c r="G22" s="53" t="str">
        <f>IFERROR(VLOOKUP($D22,'FOOD SHEET 1'!$B:$H,4,0),"")</f>
        <v/>
      </c>
      <c r="H22" s="51" t="str">
        <f>IFERROR(VLOOKUP($D22,'FOOD SHEET 1'!$B:$H,5,0),"")</f>
        <v/>
      </c>
      <c r="I22" s="53" t="str">
        <f>IFERROR(VLOOKUP($D22,'FOOD SHEET 1'!$B:$H,6,0),"")</f>
        <v/>
      </c>
      <c r="J22" s="52" t="str">
        <f>IFERROR(VLOOKUP($D22,'FOOD SHEET 1'!$B:$H,7,0),"")</f>
        <v/>
      </c>
      <c r="K22" s="49"/>
      <c r="L22" s="5"/>
      <c r="M22" s="32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15.75" customHeight="1" thickTop="1" thickBot="1" x14ac:dyDescent="0.3">
      <c r="A23" s="5"/>
      <c r="B23" s="5"/>
      <c r="C23" s="49"/>
      <c r="D23" s="60"/>
      <c r="E23" s="57" t="str">
        <f>IFERROR(VLOOKUP($D23,'FOOD SHEET 1'!$B:$H,2,0),"")</f>
        <v/>
      </c>
      <c r="F23" s="58"/>
      <c r="G23" s="53" t="str">
        <f>IFERROR(VLOOKUP($D23,'FOOD SHEET 1'!$B:$H,4,0),"")</f>
        <v/>
      </c>
      <c r="H23" s="51" t="str">
        <f>IFERROR(VLOOKUP($D23,'FOOD SHEET 1'!$B:$H,5,0),"")</f>
        <v/>
      </c>
      <c r="I23" s="53" t="str">
        <f>IFERROR(VLOOKUP($D23,'FOOD SHEET 1'!$B:$H,6,0),"")</f>
        <v/>
      </c>
      <c r="J23" s="52" t="str">
        <f>IFERROR(VLOOKUP($D23,'FOOD SHEET 1'!$B:$H,7,0),"")</f>
        <v/>
      </c>
      <c r="K23" s="49"/>
      <c r="L23" s="5"/>
      <c r="M23" s="32"/>
    </row>
    <row r="24" spans="1:26" ht="15.75" customHeight="1" thickTop="1" thickBot="1" x14ac:dyDescent="0.3">
      <c r="A24" s="5"/>
      <c r="B24" s="5"/>
      <c r="C24" s="49"/>
      <c r="D24" s="60"/>
      <c r="E24" s="57" t="str">
        <f>IFERROR(VLOOKUP($D24,'FOOD SHEET 1'!$B:$H,2,0),"")</f>
        <v/>
      </c>
      <c r="F24" s="58"/>
      <c r="G24" s="53" t="str">
        <f>IFERROR(VLOOKUP($D24,'FOOD SHEET 1'!$B:$H,4,0),"")</f>
        <v/>
      </c>
      <c r="H24" s="51" t="str">
        <f>IFERROR(VLOOKUP($D24,'FOOD SHEET 1'!$B:$H,5,0),"")</f>
        <v/>
      </c>
      <c r="I24" s="53" t="str">
        <f>IFERROR(VLOOKUP($D24,'FOOD SHEET 1'!$B:$H,6,0),"")</f>
        <v/>
      </c>
      <c r="J24" s="52" t="str">
        <f>IFERROR(VLOOKUP($D24,'FOOD SHEET 1'!$B:$H,7,0),"")</f>
        <v/>
      </c>
      <c r="K24" s="49"/>
      <c r="L24" s="5"/>
      <c r="M24" s="32"/>
    </row>
    <row r="25" spans="1:26" ht="15.75" customHeight="1" thickTop="1" x14ac:dyDescent="0.25">
      <c r="A25" s="13"/>
      <c r="B25" s="13"/>
      <c r="C25" s="13"/>
      <c r="D25" s="159"/>
      <c r="E25" s="159"/>
      <c r="F25" s="159"/>
      <c r="G25" s="159"/>
      <c r="H25" s="159"/>
      <c r="I25" s="159"/>
      <c r="J25" s="159"/>
      <c r="K25" s="13"/>
      <c r="L25" s="13"/>
      <c r="M25" s="33"/>
    </row>
    <row r="26" spans="1:26" ht="15.75" customHeight="1" x14ac:dyDescent="0.25">
      <c r="A26" s="13"/>
      <c r="B26" s="13"/>
      <c r="C26" s="13"/>
      <c r="D26" s="19" t="s">
        <v>19</v>
      </c>
      <c r="E26" s="19"/>
      <c r="F26" s="19"/>
      <c r="G26" s="20">
        <f t="shared" ref="G26:J26" si="1">SUM(G14:G24)</f>
        <v>0</v>
      </c>
      <c r="H26" s="20">
        <f t="shared" si="1"/>
        <v>0</v>
      </c>
      <c r="I26" s="20">
        <f t="shared" si="1"/>
        <v>0</v>
      </c>
      <c r="J26" s="20">
        <f t="shared" si="1"/>
        <v>0</v>
      </c>
      <c r="K26" s="13"/>
      <c r="L26" s="13"/>
      <c r="M26" s="33"/>
    </row>
    <row r="27" spans="1:26" ht="15.75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33"/>
    </row>
    <row r="28" spans="1:26" ht="15.75" customHeight="1" thickBot="1" x14ac:dyDescent="0.35">
      <c r="A28" s="2"/>
      <c r="B28" s="2"/>
      <c r="C28" s="2"/>
      <c r="D28" s="14" t="s">
        <v>49</v>
      </c>
      <c r="E28" s="15"/>
      <c r="F28" s="15"/>
      <c r="G28" s="15"/>
      <c r="H28" s="15"/>
      <c r="I28" s="15"/>
      <c r="J28" s="15"/>
      <c r="K28" s="2"/>
      <c r="L28" s="2"/>
      <c r="M28" s="29"/>
    </row>
    <row r="29" spans="1:26" ht="15.75" customHeight="1" thickTop="1" thickBot="1" x14ac:dyDescent="0.3">
      <c r="A29" s="16"/>
      <c r="B29" s="16"/>
      <c r="C29" s="47"/>
      <c r="D29" s="157" t="s">
        <v>29</v>
      </c>
      <c r="E29" s="161" t="s">
        <v>31</v>
      </c>
      <c r="F29" s="157" t="s">
        <v>32</v>
      </c>
      <c r="G29" s="54" t="s">
        <v>9</v>
      </c>
      <c r="H29" s="50" t="s">
        <v>16</v>
      </c>
      <c r="I29" s="54" t="s">
        <v>17</v>
      </c>
      <c r="J29" s="163" t="s">
        <v>40</v>
      </c>
      <c r="K29" s="47"/>
      <c r="L29" s="16"/>
      <c r="M29" s="30"/>
    </row>
    <row r="30" spans="1:26" ht="15.75" customHeight="1" thickTop="1" thickBot="1" x14ac:dyDescent="0.3">
      <c r="A30" s="16"/>
      <c r="B30" s="16"/>
      <c r="C30" s="47"/>
      <c r="D30" s="158"/>
      <c r="E30" s="162"/>
      <c r="F30" s="160"/>
      <c r="G30" s="54" t="s">
        <v>7</v>
      </c>
      <c r="H30" s="50" t="s">
        <v>7</v>
      </c>
      <c r="I30" s="54" t="s">
        <v>7</v>
      </c>
      <c r="J30" s="164"/>
      <c r="K30" s="47"/>
      <c r="L30" s="16"/>
      <c r="M30" s="30"/>
    </row>
    <row r="31" spans="1:26" ht="15.75" customHeight="1" thickTop="1" thickBot="1" x14ac:dyDescent="0.3">
      <c r="A31" s="17"/>
      <c r="B31" s="17"/>
      <c r="C31" s="48"/>
      <c r="D31" s="59"/>
      <c r="E31" s="57" t="str">
        <f>IFERROR(VLOOKUP($D31,'FOOD SHEET 2'!$B:$H,2,0),"")</f>
        <v/>
      </c>
      <c r="F31" s="58"/>
      <c r="G31" s="53" t="str">
        <f>IFERROR(VLOOKUP($D31,'FOOD SHEET 2'!$B:$H,4,0),"")</f>
        <v/>
      </c>
      <c r="H31" s="51" t="str">
        <f>IFERROR(VLOOKUP($D31,'FOOD SHEET 2'!$B:$H,5,0),"")</f>
        <v/>
      </c>
      <c r="I31" s="53" t="str">
        <f>IFERROR(VLOOKUP($D31,'FOOD SHEET 2'!$B:$H,6,0),"")</f>
        <v/>
      </c>
      <c r="J31" s="52" t="str">
        <f>IFERROR(VLOOKUP($D31,'FOOD SHEET 2'!$B:$H,7,0),"")</f>
        <v/>
      </c>
      <c r="K31" s="48"/>
      <c r="L31" s="17"/>
      <c r="M31" s="31"/>
    </row>
    <row r="32" spans="1:26" ht="15.75" customHeight="1" thickTop="1" thickBot="1" x14ac:dyDescent="0.3">
      <c r="A32" s="17"/>
      <c r="B32" s="17"/>
      <c r="C32" s="48"/>
      <c r="D32" s="59"/>
      <c r="E32" s="57" t="str">
        <f>IFERROR(VLOOKUP($D32,'FOOD SHEET 2'!$B:$H,2,0),"")</f>
        <v/>
      </c>
      <c r="F32" s="58"/>
      <c r="G32" s="53" t="str">
        <f>IFERROR(VLOOKUP($D32,'FOOD SHEET 2'!$B:$H,4,0),"")</f>
        <v/>
      </c>
      <c r="H32" s="51" t="str">
        <f>IFERROR(VLOOKUP($D32,'FOOD SHEET 2'!$B:$H,5,0),"")</f>
        <v/>
      </c>
      <c r="I32" s="53" t="str">
        <f>IFERROR(VLOOKUP($D32,'FOOD SHEET 2'!$B:$H,6,0),"")</f>
        <v/>
      </c>
      <c r="J32" s="52" t="str">
        <f>IFERROR(VLOOKUP($D32,'FOOD SHEET 2'!$B:$H,7,0),"")</f>
        <v/>
      </c>
      <c r="K32" s="48"/>
      <c r="L32" s="17"/>
      <c r="M32" s="31"/>
    </row>
    <row r="33" spans="1:13" ht="15.75" customHeight="1" thickTop="1" thickBot="1" x14ac:dyDescent="0.3">
      <c r="A33" s="17"/>
      <c r="B33" s="17"/>
      <c r="C33" s="48"/>
      <c r="D33" s="59"/>
      <c r="E33" s="57" t="str">
        <f>IFERROR(VLOOKUP($D33,'FOOD SHEET 2'!$B:$H,2,0),"")</f>
        <v/>
      </c>
      <c r="F33" s="58"/>
      <c r="G33" s="53" t="str">
        <f>IFERROR(VLOOKUP($D33,'FOOD SHEET 2'!$B:$H,4,0),"")</f>
        <v/>
      </c>
      <c r="H33" s="51" t="str">
        <f>IFERROR(VLOOKUP($D33,'FOOD SHEET 2'!$B:$H,5,0),"")</f>
        <v/>
      </c>
      <c r="I33" s="53" t="str">
        <f>IFERROR(VLOOKUP($D33,'FOOD SHEET 2'!$B:$H,6,0),"")</f>
        <v/>
      </c>
      <c r="J33" s="52" t="str">
        <f>IFERROR(VLOOKUP($D33,'FOOD SHEET 2'!$B:$H,7,0),"")</f>
        <v/>
      </c>
      <c r="K33" s="48"/>
      <c r="L33" s="17"/>
      <c r="M33" s="31"/>
    </row>
    <row r="34" spans="1:13" ht="15.75" customHeight="1" thickTop="1" thickBot="1" x14ac:dyDescent="0.3">
      <c r="A34" s="5"/>
      <c r="B34" s="5"/>
      <c r="C34" s="49"/>
      <c r="D34" s="59"/>
      <c r="E34" s="57" t="str">
        <f>IFERROR(VLOOKUP($D34,'FOOD SHEET 2'!$B:$H,2,0),"")</f>
        <v/>
      </c>
      <c r="F34" s="58"/>
      <c r="G34" s="53" t="str">
        <f>IFERROR(VLOOKUP($D34,'FOOD SHEET 2'!$B:$H,4,0),"")</f>
        <v/>
      </c>
      <c r="H34" s="51" t="str">
        <f>IFERROR(VLOOKUP($D34,'FOOD SHEET 2'!$B:$H,5,0),"")</f>
        <v/>
      </c>
      <c r="I34" s="53" t="str">
        <f>IFERROR(VLOOKUP($D34,'FOOD SHEET 2'!$B:$H,6,0),"")</f>
        <v/>
      </c>
      <c r="J34" s="52" t="str">
        <f>IFERROR(VLOOKUP($D34,'FOOD SHEET 2'!$B:$H,7,0),"")</f>
        <v/>
      </c>
      <c r="K34" s="49"/>
      <c r="L34" s="5"/>
      <c r="M34" s="32"/>
    </row>
    <row r="35" spans="1:13" ht="15.75" customHeight="1" thickTop="1" thickBot="1" x14ac:dyDescent="0.3">
      <c r="A35" s="5"/>
      <c r="B35" s="5"/>
      <c r="C35" s="49"/>
      <c r="D35" s="59"/>
      <c r="E35" s="57" t="str">
        <f>IFERROR(VLOOKUP($D35,'FOOD SHEET 2'!$B:$H,2,0),"")</f>
        <v/>
      </c>
      <c r="F35" s="58"/>
      <c r="G35" s="53" t="str">
        <f>IFERROR(VLOOKUP($D35,'FOOD SHEET 2'!$B:$H,4,0),"")</f>
        <v/>
      </c>
      <c r="H35" s="51" t="str">
        <f>IFERROR(VLOOKUP($D35,'FOOD SHEET 2'!$B:$H,5,0),"")</f>
        <v/>
      </c>
      <c r="I35" s="53" t="str">
        <f>IFERROR(VLOOKUP($D35,'FOOD SHEET 2'!$B:$H,6,0),"")</f>
        <v/>
      </c>
      <c r="J35" s="52" t="str">
        <f>IFERROR(VLOOKUP($D35,'FOOD SHEET 2'!$B:$H,7,0),"")</f>
        <v/>
      </c>
      <c r="K35" s="49"/>
      <c r="L35" s="5"/>
      <c r="M35" s="32"/>
    </row>
    <row r="36" spans="1:13" ht="15.75" customHeight="1" thickTop="1" thickBot="1" x14ac:dyDescent="0.3">
      <c r="A36" s="5"/>
      <c r="B36" s="5"/>
      <c r="C36" s="49"/>
      <c r="D36" s="59"/>
      <c r="E36" s="57" t="str">
        <f>IFERROR(VLOOKUP($D36,'FOOD SHEET 2'!$B:$H,2,0),"")</f>
        <v/>
      </c>
      <c r="F36" s="58"/>
      <c r="G36" s="53" t="str">
        <f>IFERROR(VLOOKUP($D36,'FOOD SHEET 2'!$B:$H,4,0),"")</f>
        <v/>
      </c>
      <c r="H36" s="51" t="str">
        <f>IFERROR(VLOOKUP($D36,'FOOD SHEET 2'!$B:$H,5,0),"")</f>
        <v/>
      </c>
      <c r="I36" s="53" t="str">
        <f>IFERROR(VLOOKUP($D36,'FOOD SHEET 2'!$B:$H,6,0),"")</f>
        <v/>
      </c>
      <c r="J36" s="52" t="str">
        <f>IFERROR(VLOOKUP($D36,'FOOD SHEET 2'!$B:$H,7,0),"")</f>
        <v/>
      </c>
      <c r="K36" s="49"/>
      <c r="L36" s="5"/>
      <c r="M36" s="32"/>
    </row>
    <row r="37" spans="1:13" ht="15.75" customHeight="1" thickTop="1" thickBot="1" x14ac:dyDescent="0.3">
      <c r="A37" s="5"/>
      <c r="B37" s="5"/>
      <c r="C37" s="49"/>
      <c r="D37" s="59"/>
      <c r="E37" s="57" t="str">
        <f>IFERROR(VLOOKUP($D37,'FOOD SHEET 2'!$B:$H,2,0),"")</f>
        <v/>
      </c>
      <c r="F37" s="58"/>
      <c r="G37" s="53" t="str">
        <f>IFERROR(VLOOKUP($D37,'FOOD SHEET 2'!$B:$H,4,0),"")</f>
        <v/>
      </c>
      <c r="H37" s="51" t="str">
        <f>IFERROR(VLOOKUP($D37,'FOOD SHEET 2'!$B:$H,5,0),"")</f>
        <v/>
      </c>
      <c r="I37" s="53" t="str">
        <f>IFERROR(VLOOKUP($D37,'FOOD SHEET 2'!$B:$H,6,0),"")</f>
        <v/>
      </c>
      <c r="J37" s="52" t="str">
        <f>IFERROR(VLOOKUP($D37,'FOOD SHEET 2'!$B:$H,7,0),"")</f>
        <v/>
      </c>
      <c r="K37" s="49"/>
      <c r="L37" s="5"/>
      <c r="M37" s="32"/>
    </row>
    <row r="38" spans="1:13" ht="15.75" customHeight="1" thickTop="1" thickBot="1" x14ac:dyDescent="0.3">
      <c r="A38" s="5"/>
      <c r="B38" s="5"/>
      <c r="C38" s="49"/>
      <c r="D38" s="59"/>
      <c r="E38" s="57" t="str">
        <f>IFERROR(VLOOKUP($D38,'FOOD SHEET 2'!$B:$H,2,0),"")</f>
        <v/>
      </c>
      <c r="F38" s="58"/>
      <c r="G38" s="53" t="str">
        <f>IFERROR(VLOOKUP($D38,'FOOD SHEET 2'!$B:$H,4,0),"")</f>
        <v/>
      </c>
      <c r="H38" s="51" t="str">
        <f>IFERROR(VLOOKUP($D38,'FOOD SHEET 2'!$B:$H,5,0),"")</f>
        <v/>
      </c>
      <c r="I38" s="53" t="str">
        <f>IFERROR(VLOOKUP($D38,'FOOD SHEET 2'!$B:$H,6,0),"")</f>
        <v/>
      </c>
      <c r="J38" s="52" t="str">
        <f>IFERROR(VLOOKUP($D38,'FOOD SHEET 2'!$B:$H,7,0),"")</f>
        <v/>
      </c>
      <c r="K38" s="49"/>
      <c r="L38" s="5"/>
      <c r="M38" s="32"/>
    </row>
    <row r="39" spans="1:13" ht="15.75" customHeight="1" thickTop="1" thickBot="1" x14ac:dyDescent="0.3">
      <c r="A39" s="5"/>
      <c r="B39" s="5"/>
      <c r="C39" s="49"/>
      <c r="D39" s="59"/>
      <c r="E39" s="57" t="str">
        <f>IFERROR(VLOOKUP($D39,'FOOD SHEET 2'!$B:$H,2,0),"")</f>
        <v/>
      </c>
      <c r="F39" s="58"/>
      <c r="G39" s="53" t="str">
        <f>IFERROR(VLOOKUP($D39,'FOOD SHEET 2'!$B:$H,4,0),"")</f>
        <v/>
      </c>
      <c r="H39" s="51" t="str">
        <f>IFERROR(VLOOKUP($D39,'FOOD SHEET 2'!$B:$H,5,0),"")</f>
        <v/>
      </c>
      <c r="I39" s="53" t="str">
        <f>IFERROR(VLOOKUP($D39,'FOOD SHEET 2'!$B:$H,6,0),"")</f>
        <v/>
      </c>
      <c r="J39" s="52" t="str">
        <f>IFERROR(VLOOKUP($D39,'FOOD SHEET 2'!$B:$H,7,0),"")</f>
        <v/>
      </c>
      <c r="K39" s="49"/>
      <c r="L39" s="5"/>
      <c r="M39" s="32"/>
    </row>
    <row r="40" spans="1:13" ht="15.75" customHeight="1" thickTop="1" thickBot="1" x14ac:dyDescent="0.3">
      <c r="A40" s="5"/>
      <c r="B40" s="5"/>
      <c r="C40" s="49"/>
      <c r="D40" s="59"/>
      <c r="E40" s="57" t="str">
        <f>IFERROR(VLOOKUP($D40,'FOOD SHEET 2'!$B:$H,2,0),"")</f>
        <v/>
      </c>
      <c r="F40" s="58"/>
      <c r="G40" s="53" t="str">
        <f>IFERROR(VLOOKUP($D40,'FOOD SHEET 2'!$B:$H,4,0),"")</f>
        <v/>
      </c>
      <c r="H40" s="51" t="str">
        <f>IFERROR(VLOOKUP($D40,'FOOD SHEET 2'!$B:$H,5,0),"")</f>
        <v/>
      </c>
      <c r="I40" s="53" t="str">
        <f>IFERROR(VLOOKUP($D40,'FOOD SHEET 2'!$B:$H,6,0),"")</f>
        <v/>
      </c>
      <c r="J40" s="52" t="str">
        <f>IFERROR(VLOOKUP($D40,'FOOD SHEET 2'!$B:$H,7,0),"")</f>
        <v/>
      </c>
      <c r="K40" s="49"/>
      <c r="L40" s="5"/>
      <c r="M40" s="32"/>
    </row>
    <row r="41" spans="1:13" ht="15.75" customHeight="1" thickTop="1" thickBot="1" x14ac:dyDescent="0.3">
      <c r="A41" s="5"/>
      <c r="B41" s="5"/>
      <c r="C41" s="49"/>
      <c r="D41" s="59"/>
      <c r="E41" s="57" t="str">
        <f>IFERROR(VLOOKUP($D41,'FOOD SHEET 2'!$B:$H,2,0),"")</f>
        <v/>
      </c>
      <c r="F41" s="58"/>
      <c r="G41" s="53" t="str">
        <f>IFERROR(VLOOKUP($D41,'FOOD SHEET 2'!$B:$H,4,0),"")</f>
        <v/>
      </c>
      <c r="H41" s="51" t="str">
        <f>IFERROR(VLOOKUP($D41,'FOOD SHEET 2'!$B:$H,5,0),"")</f>
        <v/>
      </c>
      <c r="I41" s="53" t="str">
        <f>IFERROR(VLOOKUP($D41,'FOOD SHEET 2'!$B:$H,6,0),"")</f>
        <v/>
      </c>
      <c r="J41" s="52" t="str">
        <f>IFERROR(VLOOKUP($D41,'FOOD SHEET 2'!$B:$H,7,0),"")</f>
        <v/>
      </c>
      <c r="K41" s="49"/>
      <c r="L41" s="5"/>
      <c r="M41" s="32"/>
    </row>
    <row r="42" spans="1:13" ht="15.75" customHeight="1" thickTop="1" x14ac:dyDescent="0.25">
      <c r="A42" s="13"/>
      <c r="B42" s="13"/>
      <c r="C42" s="13"/>
      <c r="D42" s="159"/>
      <c r="E42" s="159"/>
      <c r="F42" s="159"/>
      <c r="G42" s="159"/>
      <c r="H42" s="159"/>
      <c r="I42" s="159"/>
      <c r="J42" s="159"/>
      <c r="K42" s="13"/>
      <c r="L42" s="13"/>
      <c r="M42" s="33"/>
    </row>
    <row r="43" spans="1:13" ht="15.75" customHeight="1" x14ac:dyDescent="0.25">
      <c r="A43" s="13"/>
      <c r="B43" s="13"/>
      <c r="C43" s="13"/>
      <c r="D43" s="19" t="s">
        <v>19</v>
      </c>
      <c r="E43" s="19"/>
      <c r="F43" s="19"/>
      <c r="G43" s="20">
        <f t="shared" ref="G43:J43" si="2">SUM(G31:G41)</f>
        <v>0</v>
      </c>
      <c r="H43" s="20">
        <f t="shared" si="2"/>
        <v>0</v>
      </c>
      <c r="I43" s="20">
        <f t="shared" si="2"/>
        <v>0</v>
      </c>
      <c r="J43" s="20">
        <f t="shared" si="2"/>
        <v>0</v>
      </c>
      <c r="K43" s="13"/>
      <c r="L43" s="13"/>
      <c r="M43" s="33"/>
    </row>
    <row r="44" spans="1:13" ht="15.75" customHeight="1" x14ac:dyDescent="0.2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33"/>
    </row>
    <row r="45" spans="1:13" ht="15.75" customHeight="1" thickBot="1" x14ac:dyDescent="0.35">
      <c r="A45" s="2"/>
      <c r="B45" s="2"/>
      <c r="C45" s="2"/>
      <c r="D45" s="14" t="s">
        <v>59</v>
      </c>
      <c r="E45" s="15"/>
      <c r="F45" s="15"/>
      <c r="G45" s="15"/>
      <c r="H45" s="15"/>
      <c r="I45" s="15"/>
      <c r="J45" s="15"/>
      <c r="K45" s="2"/>
      <c r="L45" s="2"/>
      <c r="M45" s="29"/>
    </row>
    <row r="46" spans="1:13" ht="15.75" customHeight="1" thickTop="1" thickBot="1" x14ac:dyDescent="0.3">
      <c r="A46" s="16"/>
      <c r="B46" s="16"/>
      <c r="C46" s="47"/>
      <c r="D46" s="157" t="s">
        <v>29</v>
      </c>
      <c r="E46" s="161" t="s">
        <v>31</v>
      </c>
      <c r="F46" s="157" t="s">
        <v>32</v>
      </c>
      <c r="G46" s="54" t="s">
        <v>9</v>
      </c>
      <c r="H46" s="50" t="s">
        <v>16</v>
      </c>
      <c r="I46" s="54" t="s">
        <v>17</v>
      </c>
      <c r="J46" s="163" t="s">
        <v>40</v>
      </c>
      <c r="K46" s="47"/>
      <c r="L46" s="16"/>
      <c r="M46" s="30"/>
    </row>
    <row r="47" spans="1:13" ht="15.75" customHeight="1" thickTop="1" thickBot="1" x14ac:dyDescent="0.3">
      <c r="A47" s="16"/>
      <c r="B47" s="16"/>
      <c r="C47" s="47"/>
      <c r="D47" s="158"/>
      <c r="E47" s="162"/>
      <c r="F47" s="160"/>
      <c r="G47" s="54" t="s">
        <v>7</v>
      </c>
      <c r="H47" s="50" t="s">
        <v>7</v>
      </c>
      <c r="I47" s="54" t="s">
        <v>7</v>
      </c>
      <c r="J47" s="164"/>
      <c r="K47" s="47"/>
      <c r="L47" s="16"/>
      <c r="M47" s="30"/>
    </row>
    <row r="48" spans="1:13" ht="15.75" customHeight="1" thickTop="1" thickBot="1" x14ac:dyDescent="0.3">
      <c r="A48" s="5"/>
      <c r="B48" s="5"/>
      <c r="C48" s="49"/>
      <c r="D48" s="59"/>
      <c r="E48" s="57" t="str">
        <f>IFERROR(VLOOKUP($D48,'FOOD SHEET 3'!$B:$H,2,0),"")</f>
        <v/>
      </c>
      <c r="F48" s="58"/>
      <c r="G48" s="53" t="str">
        <f>IFERROR(VLOOKUP($D48,'FOOD SHEET 3'!$B:$H,4,0),"")</f>
        <v/>
      </c>
      <c r="H48" s="51" t="str">
        <f>IFERROR(VLOOKUP($D48,'FOOD SHEET 3'!$B:$H,5,0),"")</f>
        <v/>
      </c>
      <c r="I48" s="53" t="str">
        <f>IFERROR(VLOOKUP($D48,'FOOD SHEET 3'!$B:$H,6,0),"")</f>
        <v/>
      </c>
      <c r="J48" s="52" t="str">
        <f>IFERROR(VLOOKUP($D48,'FOOD SHEET 3'!$B:$H,7,0),"")</f>
        <v/>
      </c>
      <c r="K48" s="49"/>
      <c r="L48" s="5"/>
      <c r="M48" s="32"/>
    </row>
    <row r="49" spans="1:26" ht="15.75" customHeight="1" thickTop="1" thickBot="1" x14ac:dyDescent="0.3">
      <c r="A49" s="5"/>
      <c r="B49" s="5"/>
      <c r="C49" s="49"/>
      <c r="D49" s="59"/>
      <c r="E49" s="57" t="str">
        <f>IFERROR(VLOOKUP($D49,'FOOD SHEET 3'!$B:$H,2,0),"")</f>
        <v/>
      </c>
      <c r="F49" s="58"/>
      <c r="G49" s="53" t="str">
        <f>IFERROR(VLOOKUP($D49,'FOOD SHEET 3'!$B:$H,4,0),"")</f>
        <v/>
      </c>
      <c r="H49" s="51" t="str">
        <f>IFERROR(VLOOKUP($D49,'FOOD SHEET 3'!$B:$H,5,0),"")</f>
        <v/>
      </c>
      <c r="I49" s="53" t="str">
        <f>IFERROR(VLOOKUP($D49,'FOOD SHEET 3'!$B:$H,6,0),"")</f>
        <v/>
      </c>
      <c r="J49" s="52" t="str">
        <f>IFERROR(VLOOKUP($D49,'FOOD SHEET 3'!$B:$H,7,0),"")</f>
        <v/>
      </c>
      <c r="K49" s="49"/>
      <c r="L49" s="5"/>
      <c r="M49" s="32"/>
    </row>
    <row r="50" spans="1:26" ht="15.75" customHeight="1" thickTop="1" thickBot="1" x14ac:dyDescent="0.3">
      <c r="A50" s="17"/>
      <c r="B50" s="17"/>
      <c r="C50" s="48"/>
      <c r="D50" s="59"/>
      <c r="E50" s="57" t="str">
        <f>IFERROR(VLOOKUP($D50,'FOOD SHEET 3'!$B:$H,2,0),"")</f>
        <v/>
      </c>
      <c r="F50" s="58"/>
      <c r="G50" s="53" t="str">
        <f>IFERROR(VLOOKUP($D50,'FOOD SHEET 3'!$B:$H,4,0),"")</f>
        <v/>
      </c>
      <c r="H50" s="51" t="str">
        <f>IFERROR(VLOOKUP($D50,'FOOD SHEET 3'!$B:$H,5,0),"")</f>
        <v/>
      </c>
      <c r="I50" s="53" t="str">
        <f>IFERROR(VLOOKUP($D50,'FOOD SHEET 3'!$B:$H,6,0),"")</f>
        <v/>
      </c>
      <c r="J50" s="52" t="str">
        <f>IFERROR(VLOOKUP($D50,'FOOD SHEET 3'!$B:$H,7,0),"")</f>
        <v/>
      </c>
      <c r="K50" s="48"/>
      <c r="L50" s="17"/>
      <c r="M50" s="31"/>
    </row>
    <row r="51" spans="1:26" ht="15.75" customHeight="1" thickTop="1" thickBot="1" x14ac:dyDescent="0.3">
      <c r="A51" s="17"/>
      <c r="B51" s="17"/>
      <c r="C51" s="48"/>
      <c r="D51" s="59"/>
      <c r="E51" s="57" t="str">
        <f>IFERROR(VLOOKUP($D51,'FOOD SHEET 3'!$B:$H,2,0),"")</f>
        <v/>
      </c>
      <c r="F51" s="58"/>
      <c r="G51" s="53" t="str">
        <f>IFERROR(VLOOKUP($D51,'FOOD SHEET 3'!$B:$H,4,0),"")</f>
        <v/>
      </c>
      <c r="H51" s="51" t="str">
        <f>IFERROR(VLOOKUP($D51,'FOOD SHEET 3'!$B:$H,5,0),"")</f>
        <v/>
      </c>
      <c r="I51" s="53" t="str">
        <f>IFERROR(VLOOKUP($D51,'FOOD SHEET 3'!$B:$H,6,0),"")</f>
        <v/>
      </c>
      <c r="J51" s="52" t="str">
        <f>IFERROR(VLOOKUP($D51,'FOOD SHEET 3'!$B:$H,7,0),"")</f>
        <v/>
      </c>
      <c r="K51" s="48"/>
      <c r="L51" s="17"/>
      <c r="M51" s="31"/>
    </row>
    <row r="52" spans="1:26" ht="15.75" customHeight="1" thickTop="1" thickBot="1" x14ac:dyDescent="0.3">
      <c r="A52" s="17"/>
      <c r="B52" s="17"/>
      <c r="C52" s="48"/>
      <c r="D52" s="59"/>
      <c r="E52" s="57" t="str">
        <f>IFERROR(VLOOKUP($D52,'FOOD SHEET 3'!$B:$H,2,0),"")</f>
        <v/>
      </c>
      <c r="F52" s="58"/>
      <c r="G52" s="53" t="str">
        <f>IFERROR(VLOOKUP($D52,'FOOD SHEET 3'!$B:$H,4,0),"")</f>
        <v/>
      </c>
      <c r="H52" s="51" t="str">
        <f>IFERROR(VLOOKUP($D52,'FOOD SHEET 3'!$B:$H,5,0),"")</f>
        <v/>
      </c>
      <c r="I52" s="53" t="str">
        <f>IFERROR(VLOOKUP($D52,'FOOD SHEET 3'!$B:$H,6,0),"")</f>
        <v/>
      </c>
      <c r="J52" s="52" t="str">
        <f>IFERROR(VLOOKUP($D52,'FOOD SHEET 3'!$B:$H,7,0),"")</f>
        <v/>
      </c>
      <c r="K52" s="48"/>
      <c r="L52" s="17"/>
      <c r="M52" s="31"/>
    </row>
    <row r="53" spans="1:26" ht="15.75" customHeight="1" thickTop="1" thickBot="1" x14ac:dyDescent="0.3">
      <c r="A53" s="17"/>
      <c r="B53" s="17"/>
      <c r="C53" s="48"/>
      <c r="D53" s="59"/>
      <c r="E53" s="57" t="str">
        <f>IFERROR(VLOOKUP($D53,'FOOD SHEET 3'!$B:$H,2,0),"")</f>
        <v/>
      </c>
      <c r="F53" s="58"/>
      <c r="G53" s="53" t="str">
        <f>IFERROR(VLOOKUP($D53,'FOOD SHEET 3'!$B:$H,4,0),"")</f>
        <v/>
      </c>
      <c r="H53" s="51" t="str">
        <f>IFERROR(VLOOKUP($D53,'FOOD SHEET 3'!$B:$H,5,0),"")</f>
        <v/>
      </c>
      <c r="I53" s="53" t="str">
        <f>IFERROR(VLOOKUP($D53,'FOOD SHEET 3'!$B:$H,6,0),"")</f>
        <v/>
      </c>
      <c r="J53" s="52" t="str">
        <f>IFERROR(VLOOKUP($D53,'FOOD SHEET 3'!$B:$H,7,0),"")</f>
        <v/>
      </c>
      <c r="K53" s="48"/>
      <c r="L53" s="17"/>
      <c r="M53" s="31"/>
    </row>
    <row r="54" spans="1:26" ht="15.75" customHeight="1" thickTop="1" thickBot="1" x14ac:dyDescent="0.3">
      <c r="A54" s="5"/>
      <c r="B54" s="5"/>
      <c r="C54" s="49"/>
      <c r="D54" s="59"/>
      <c r="E54" s="57" t="str">
        <f>IFERROR(VLOOKUP($D54,'FOOD SHEET 3'!$B:$H,2,0),"")</f>
        <v/>
      </c>
      <c r="F54" s="58"/>
      <c r="G54" s="53" t="str">
        <f>IFERROR(VLOOKUP($D54,'FOOD SHEET 3'!$B:$H,4,0),"")</f>
        <v/>
      </c>
      <c r="H54" s="51" t="str">
        <f>IFERROR(VLOOKUP($D54,'FOOD SHEET 3'!$B:$H,5,0),"")</f>
        <v/>
      </c>
      <c r="I54" s="53" t="str">
        <f>IFERROR(VLOOKUP($D54,'FOOD SHEET 3'!$B:$H,6,0),"")</f>
        <v/>
      </c>
      <c r="J54" s="52" t="str">
        <f>IFERROR(VLOOKUP($D54,'FOOD SHEET 3'!$B:$H,7,0),"")</f>
        <v/>
      </c>
      <c r="K54" s="49"/>
      <c r="L54" s="5"/>
      <c r="M54" s="32"/>
    </row>
    <row r="55" spans="1:26" ht="15.75" customHeight="1" thickTop="1" thickBot="1" x14ac:dyDescent="0.3">
      <c r="A55" s="5"/>
      <c r="B55" s="5"/>
      <c r="C55" s="49"/>
      <c r="D55" s="59"/>
      <c r="E55" s="57" t="str">
        <f>IFERROR(VLOOKUP($D55,'FOOD SHEET 3'!$B:$H,2,0),"")</f>
        <v/>
      </c>
      <c r="F55" s="58"/>
      <c r="G55" s="53" t="str">
        <f>IFERROR(VLOOKUP($D55,'FOOD SHEET 3'!$B:$H,4,0),"")</f>
        <v/>
      </c>
      <c r="H55" s="51" t="str">
        <f>IFERROR(VLOOKUP($D55,'FOOD SHEET 3'!$B:$H,5,0),"")</f>
        <v/>
      </c>
      <c r="I55" s="53" t="str">
        <f>IFERROR(VLOOKUP($D55,'FOOD SHEET 3'!$B:$H,6,0),"")</f>
        <v/>
      </c>
      <c r="J55" s="52" t="str">
        <f>IFERROR(VLOOKUP($D55,'FOOD SHEET 3'!$B:$H,7,0),"")</f>
        <v/>
      </c>
      <c r="K55" s="49"/>
      <c r="L55" s="5"/>
      <c r="M55" s="32"/>
    </row>
    <row r="56" spans="1:26" ht="15.75" customHeight="1" thickTop="1" thickBot="1" x14ac:dyDescent="0.3">
      <c r="A56" s="5"/>
      <c r="B56" s="5"/>
      <c r="C56" s="49"/>
      <c r="D56" s="59"/>
      <c r="E56" s="57" t="str">
        <f>IFERROR(VLOOKUP($D56,'FOOD SHEET 3'!$B:$H,2,0),"")</f>
        <v/>
      </c>
      <c r="F56" s="58"/>
      <c r="G56" s="53" t="str">
        <f>IFERROR(VLOOKUP($D56,'FOOD SHEET 3'!$B:$H,4,0),"")</f>
        <v/>
      </c>
      <c r="H56" s="51" t="str">
        <f>IFERROR(VLOOKUP($D56,'FOOD SHEET 3'!$B:$H,5,0),"")</f>
        <v/>
      </c>
      <c r="I56" s="53" t="str">
        <f>IFERROR(VLOOKUP($D56,'FOOD SHEET 3'!$B:$H,6,0),"")</f>
        <v/>
      </c>
      <c r="J56" s="52" t="str">
        <f>IFERROR(VLOOKUP($D56,'FOOD SHEET 3'!$B:$H,7,0),"")</f>
        <v/>
      </c>
      <c r="K56" s="49"/>
      <c r="L56" s="5"/>
      <c r="M56" s="32"/>
    </row>
    <row r="57" spans="1:26" ht="15.75" customHeight="1" thickTop="1" thickBot="1" x14ac:dyDescent="0.3">
      <c r="A57" s="5"/>
      <c r="B57" s="5"/>
      <c r="C57" s="49"/>
      <c r="D57" s="59"/>
      <c r="E57" s="57" t="str">
        <f>IFERROR(VLOOKUP($D57,'FOOD SHEET 3'!$B:$H,2,0),"")</f>
        <v/>
      </c>
      <c r="F57" s="58"/>
      <c r="G57" s="53" t="str">
        <f>IFERROR(VLOOKUP($D57,'FOOD SHEET 3'!$B:$H,4,0),"")</f>
        <v/>
      </c>
      <c r="H57" s="51" t="str">
        <f>IFERROR(VLOOKUP($D57,'FOOD SHEET 3'!$B:$H,5,0),"")</f>
        <v/>
      </c>
      <c r="I57" s="53" t="str">
        <f>IFERROR(VLOOKUP($D57,'FOOD SHEET 3'!$B:$H,6,0),"")</f>
        <v/>
      </c>
      <c r="J57" s="52" t="str">
        <f>IFERROR(VLOOKUP($D57,'FOOD SHEET 3'!$B:$H,7,0),"")</f>
        <v/>
      </c>
      <c r="K57" s="49"/>
      <c r="L57" s="5"/>
      <c r="M57" s="32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15.75" customHeight="1" thickTop="1" thickBot="1" x14ac:dyDescent="0.3">
      <c r="A58" s="5"/>
      <c r="B58" s="5"/>
      <c r="C58" s="49"/>
      <c r="D58" s="59"/>
      <c r="E58" s="57" t="str">
        <f>IFERROR(VLOOKUP($D58,'FOOD SHEET 3'!$B:$H,2,0),"")</f>
        <v/>
      </c>
      <c r="F58" s="58"/>
      <c r="G58" s="53" t="str">
        <f>IFERROR(VLOOKUP($D58,'FOOD SHEET 3'!$B:$H,4,0),"")</f>
        <v/>
      </c>
      <c r="H58" s="51" t="str">
        <f>IFERROR(VLOOKUP($D58,'FOOD SHEET 3'!$B:$H,5,0),"")</f>
        <v/>
      </c>
      <c r="I58" s="53" t="str">
        <f>IFERROR(VLOOKUP($D58,'FOOD SHEET 3'!$B:$H,6,0),"")</f>
        <v/>
      </c>
      <c r="J58" s="52" t="str">
        <f>IFERROR(VLOOKUP($D58,'FOOD SHEET 3'!$B:$H,7,0),"")</f>
        <v/>
      </c>
      <c r="K58" s="49"/>
      <c r="L58" s="5"/>
      <c r="M58" s="32"/>
    </row>
    <row r="59" spans="1:26" ht="15.75" customHeight="1" thickTop="1" x14ac:dyDescent="0.25">
      <c r="A59" s="13"/>
      <c r="B59" s="13"/>
      <c r="C59" s="13"/>
      <c r="D59" s="159"/>
      <c r="E59" s="159"/>
      <c r="F59" s="159"/>
      <c r="G59" s="159"/>
      <c r="H59" s="159"/>
      <c r="I59" s="159"/>
      <c r="J59" s="159"/>
      <c r="K59" s="13"/>
      <c r="L59" s="13"/>
      <c r="M59" s="33"/>
    </row>
    <row r="60" spans="1:26" ht="15.75" customHeight="1" x14ac:dyDescent="0.25">
      <c r="A60" s="13"/>
      <c r="B60" s="13"/>
      <c r="C60" s="13"/>
      <c r="D60" s="19" t="s">
        <v>19</v>
      </c>
      <c r="E60" s="19"/>
      <c r="F60" s="19"/>
      <c r="G60" s="20">
        <f t="shared" ref="G60:I60" si="3">SUM(G48:G58)</f>
        <v>0</v>
      </c>
      <c r="H60" s="20">
        <f t="shared" si="3"/>
        <v>0</v>
      </c>
      <c r="I60" s="20">
        <f t="shared" si="3"/>
        <v>0</v>
      </c>
      <c r="J60" s="20">
        <f>SUM(J46:J58)</f>
        <v>0</v>
      </c>
      <c r="K60" s="13"/>
      <c r="L60" s="13"/>
      <c r="M60" s="33"/>
    </row>
    <row r="61" spans="1:26" ht="15.75" customHeight="1" x14ac:dyDescent="0.2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33"/>
    </row>
    <row r="62" spans="1:26" ht="15.75" customHeight="1" thickBot="1" x14ac:dyDescent="0.35">
      <c r="A62" s="2"/>
      <c r="B62" s="2"/>
      <c r="C62" s="2"/>
      <c r="D62" s="14" t="s">
        <v>70</v>
      </c>
      <c r="E62" s="15"/>
      <c r="F62" s="15"/>
      <c r="G62" s="15"/>
      <c r="H62" s="15"/>
      <c r="I62" s="15"/>
      <c r="J62" s="15"/>
      <c r="K62" s="2"/>
      <c r="L62" s="2"/>
      <c r="M62" s="29"/>
    </row>
    <row r="63" spans="1:26" ht="15.75" customHeight="1" thickTop="1" thickBot="1" x14ac:dyDescent="0.3">
      <c r="A63" s="16"/>
      <c r="B63" s="16"/>
      <c r="C63" s="47"/>
      <c r="D63" s="157" t="s">
        <v>29</v>
      </c>
      <c r="E63" s="161" t="s">
        <v>31</v>
      </c>
      <c r="F63" s="157" t="s">
        <v>32</v>
      </c>
      <c r="G63" s="54" t="s">
        <v>9</v>
      </c>
      <c r="H63" s="50" t="s">
        <v>16</v>
      </c>
      <c r="I63" s="54" t="s">
        <v>17</v>
      </c>
      <c r="J63" s="163" t="s">
        <v>40</v>
      </c>
      <c r="K63" s="47"/>
      <c r="L63" s="16"/>
      <c r="M63" s="30"/>
    </row>
    <row r="64" spans="1:26" ht="15.75" customHeight="1" thickTop="1" thickBot="1" x14ac:dyDescent="0.3">
      <c r="A64" s="16"/>
      <c r="B64" s="16"/>
      <c r="C64" s="47"/>
      <c r="D64" s="158"/>
      <c r="E64" s="162"/>
      <c r="F64" s="160"/>
      <c r="G64" s="54" t="s">
        <v>7</v>
      </c>
      <c r="H64" s="50" t="s">
        <v>7</v>
      </c>
      <c r="I64" s="54" t="s">
        <v>7</v>
      </c>
      <c r="J64" s="164"/>
      <c r="K64" s="47"/>
      <c r="L64" s="16"/>
      <c r="M64" s="30"/>
    </row>
    <row r="65" spans="1:26" ht="15.75" customHeight="1" thickTop="1" thickBot="1" x14ac:dyDescent="0.3">
      <c r="A65" s="17"/>
      <c r="B65" s="17"/>
      <c r="C65" s="48"/>
      <c r="D65" s="59"/>
      <c r="E65" s="57" t="str">
        <f>IFERROR(VLOOKUP($D65,'FOOD SHEET 4'!$B:$H,2,0),"")</f>
        <v/>
      </c>
      <c r="F65" s="58"/>
      <c r="G65" s="53" t="str">
        <f>IFERROR(VLOOKUP($D65,'FOOD SHEET 4'!$B:$H,4,0),"")</f>
        <v/>
      </c>
      <c r="H65" s="51" t="str">
        <f>IFERROR(VLOOKUP($D65,'FOOD SHEET 4'!$B:$H,5,0),"")</f>
        <v/>
      </c>
      <c r="I65" s="53" t="str">
        <f>IFERROR(VLOOKUP($D65,'FOOD SHEET 4'!$B:$H,6,0),"")</f>
        <v/>
      </c>
      <c r="J65" s="52" t="str">
        <f>IFERROR(VLOOKUP($D65,'FOOD SHEET 4'!$B:$H,7,0),"")</f>
        <v/>
      </c>
      <c r="K65" s="48"/>
      <c r="L65" s="17"/>
      <c r="M65" s="31"/>
    </row>
    <row r="66" spans="1:26" ht="15.75" customHeight="1" thickTop="1" thickBot="1" x14ac:dyDescent="0.3">
      <c r="A66" s="17"/>
      <c r="B66" s="17"/>
      <c r="C66" s="48"/>
      <c r="D66" s="59"/>
      <c r="E66" s="57" t="str">
        <f>IFERROR(VLOOKUP($D66,'FOOD SHEET 4'!$B:$H,2,0),"")</f>
        <v/>
      </c>
      <c r="F66" s="58"/>
      <c r="G66" s="53" t="str">
        <f>IFERROR(VLOOKUP($D66,'FOOD SHEET 4'!$B:$H,4,0),"")</f>
        <v/>
      </c>
      <c r="H66" s="51" t="str">
        <f>IFERROR(VLOOKUP($D66,'FOOD SHEET 4'!$B:$H,5,0),"")</f>
        <v/>
      </c>
      <c r="I66" s="53" t="str">
        <f>IFERROR(VLOOKUP($D66,'FOOD SHEET 4'!$B:$H,6,0),"")</f>
        <v/>
      </c>
      <c r="J66" s="52" t="str">
        <f>IFERROR(VLOOKUP($D66,'FOOD SHEET 4'!$B:$H,7,0),"")</f>
        <v/>
      </c>
      <c r="K66" s="48"/>
      <c r="L66" s="17"/>
      <c r="M66" s="31"/>
    </row>
    <row r="67" spans="1:26" ht="15.75" customHeight="1" thickTop="1" thickBot="1" x14ac:dyDescent="0.3">
      <c r="A67" s="17"/>
      <c r="B67" s="17"/>
      <c r="C67" s="48"/>
      <c r="D67" s="59"/>
      <c r="E67" s="57" t="str">
        <f>IFERROR(VLOOKUP($D67,'FOOD SHEET 4'!$B:$H,2,0),"")</f>
        <v/>
      </c>
      <c r="F67" s="58"/>
      <c r="G67" s="53" t="str">
        <f>IFERROR(VLOOKUP($D67,'FOOD SHEET 4'!$B:$H,4,0),"")</f>
        <v/>
      </c>
      <c r="H67" s="51" t="str">
        <f>IFERROR(VLOOKUP($D67,'FOOD SHEET 4'!$B:$H,5,0),"")</f>
        <v/>
      </c>
      <c r="I67" s="53" t="str">
        <f>IFERROR(VLOOKUP($D67,'FOOD SHEET 4'!$B:$H,6,0),"")</f>
        <v/>
      </c>
      <c r="J67" s="52" t="str">
        <f>IFERROR(VLOOKUP($D67,'FOOD SHEET 4'!$B:$H,7,0),"")</f>
        <v/>
      </c>
      <c r="K67" s="48"/>
      <c r="L67" s="17"/>
      <c r="M67" s="31"/>
    </row>
    <row r="68" spans="1:26" ht="15.75" customHeight="1" thickTop="1" thickBot="1" x14ac:dyDescent="0.3">
      <c r="A68" s="5"/>
      <c r="B68" s="5"/>
      <c r="C68" s="49"/>
      <c r="D68" s="59"/>
      <c r="E68" s="57" t="str">
        <f>IFERROR(VLOOKUP($D68,'FOOD SHEET 4'!$B:$H,2,0),"")</f>
        <v/>
      </c>
      <c r="F68" s="58"/>
      <c r="G68" s="53" t="str">
        <f>IFERROR(VLOOKUP($D68,'FOOD SHEET 4'!$B:$H,4,0),"")</f>
        <v/>
      </c>
      <c r="H68" s="51" t="str">
        <f>IFERROR(VLOOKUP($D68,'FOOD SHEET 4'!$B:$H,5,0),"")</f>
        <v/>
      </c>
      <c r="I68" s="53" t="str">
        <f>IFERROR(VLOOKUP($D68,'FOOD SHEET 4'!$B:$H,6,0),"")</f>
        <v/>
      </c>
      <c r="J68" s="52" t="str">
        <f>IFERROR(VLOOKUP($D68,'FOOD SHEET 4'!$B:$H,7,0),"")</f>
        <v/>
      </c>
      <c r="K68" s="49"/>
      <c r="L68" s="5"/>
      <c r="M68" s="32"/>
    </row>
    <row r="69" spans="1:26" ht="15.75" customHeight="1" thickTop="1" thickBot="1" x14ac:dyDescent="0.3">
      <c r="A69" s="5"/>
      <c r="B69" s="5"/>
      <c r="C69" s="49"/>
      <c r="D69" s="59"/>
      <c r="E69" s="57" t="str">
        <f>IFERROR(VLOOKUP($D69,'FOOD SHEET 4'!$B:$H,2,0),"")</f>
        <v/>
      </c>
      <c r="F69" s="58"/>
      <c r="G69" s="53" t="str">
        <f>IFERROR(VLOOKUP($D69,'FOOD SHEET 4'!$B:$H,4,0),"")</f>
        <v/>
      </c>
      <c r="H69" s="51" t="str">
        <f>IFERROR(VLOOKUP($D69,'FOOD SHEET 4'!$B:$H,5,0),"")</f>
        <v/>
      </c>
      <c r="I69" s="53" t="str">
        <f>IFERROR(VLOOKUP($D69,'FOOD SHEET 4'!$B:$H,6,0),"")</f>
        <v/>
      </c>
      <c r="J69" s="52" t="str">
        <f>IFERROR(VLOOKUP($D69,'FOOD SHEET 4'!$B:$H,7,0),"")</f>
        <v/>
      </c>
      <c r="K69" s="49"/>
      <c r="L69" s="5"/>
      <c r="M69" s="32"/>
    </row>
    <row r="70" spans="1:26" ht="15.75" customHeight="1" thickTop="1" thickBot="1" x14ac:dyDescent="0.3">
      <c r="A70" s="5"/>
      <c r="B70" s="5"/>
      <c r="C70" s="49"/>
      <c r="D70" s="59"/>
      <c r="E70" s="57" t="str">
        <f>IFERROR(VLOOKUP($D70,'FOOD SHEET 4'!$B:$H,2,0),"")</f>
        <v/>
      </c>
      <c r="F70" s="58"/>
      <c r="G70" s="53" t="str">
        <f>IFERROR(VLOOKUP($D70,'FOOD SHEET 4'!$B:$H,4,0),"")</f>
        <v/>
      </c>
      <c r="H70" s="51" t="str">
        <f>IFERROR(VLOOKUP($D70,'FOOD SHEET 4'!$B:$H,5,0),"")</f>
        <v/>
      </c>
      <c r="I70" s="53" t="str">
        <f>IFERROR(VLOOKUP($D70,'FOOD SHEET 4'!$B:$H,6,0),"")</f>
        <v/>
      </c>
      <c r="J70" s="52" t="str">
        <f>IFERROR(VLOOKUP($D70,'FOOD SHEET 4'!$B:$H,7,0),"")</f>
        <v/>
      </c>
      <c r="K70" s="49"/>
      <c r="L70" s="5"/>
      <c r="M70" s="32"/>
    </row>
    <row r="71" spans="1:26" ht="15.75" customHeight="1" thickTop="1" thickBot="1" x14ac:dyDescent="0.3">
      <c r="A71" s="5"/>
      <c r="B71" s="5"/>
      <c r="C71" s="49"/>
      <c r="D71" s="59"/>
      <c r="E71" s="57" t="str">
        <f>IFERROR(VLOOKUP($D71,'FOOD SHEET 4'!$B:$H,2,0),"")</f>
        <v/>
      </c>
      <c r="F71" s="58"/>
      <c r="G71" s="53" t="str">
        <f>IFERROR(VLOOKUP($D71,'FOOD SHEET 4'!$B:$H,4,0),"")</f>
        <v/>
      </c>
      <c r="H71" s="51" t="str">
        <f>IFERROR(VLOOKUP($D71,'FOOD SHEET 4'!$B:$H,5,0),"")</f>
        <v/>
      </c>
      <c r="I71" s="53" t="str">
        <f>IFERROR(VLOOKUP($D71,'FOOD SHEET 4'!$B:$H,6,0),"")</f>
        <v/>
      </c>
      <c r="J71" s="52" t="str">
        <f>IFERROR(VLOOKUP($D71,'FOOD SHEET 4'!$B:$H,7,0),"")</f>
        <v/>
      </c>
      <c r="K71" s="49"/>
      <c r="L71" s="5"/>
      <c r="M71" s="32"/>
    </row>
    <row r="72" spans="1:26" ht="15.75" customHeight="1" thickTop="1" thickBot="1" x14ac:dyDescent="0.3">
      <c r="A72" s="5"/>
      <c r="B72" s="5"/>
      <c r="C72" s="49"/>
      <c r="D72" s="59"/>
      <c r="E72" s="57" t="str">
        <f>IFERROR(VLOOKUP($D72,'FOOD SHEET 4'!$B:$H,2,0),"")</f>
        <v/>
      </c>
      <c r="F72" s="58"/>
      <c r="G72" s="53" t="str">
        <f>IFERROR(VLOOKUP($D72,'FOOD SHEET 4'!$B:$H,4,0),"")</f>
        <v/>
      </c>
      <c r="H72" s="51" t="str">
        <f>IFERROR(VLOOKUP($D72,'FOOD SHEET 4'!$B:$H,5,0),"")</f>
        <v/>
      </c>
      <c r="I72" s="53" t="str">
        <f>IFERROR(VLOOKUP($D72,'FOOD SHEET 4'!$B:$H,6,0),"")</f>
        <v/>
      </c>
      <c r="J72" s="52" t="str">
        <f>IFERROR(VLOOKUP($D72,'FOOD SHEET 4'!$B:$H,7,0),"")</f>
        <v/>
      </c>
      <c r="K72" s="49"/>
      <c r="L72" s="5"/>
      <c r="M72" s="32"/>
    </row>
    <row r="73" spans="1:26" ht="15.75" customHeight="1" thickTop="1" thickBot="1" x14ac:dyDescent="0.3">
      <c r="A73" s="5"/>
      <c r="B73" s="5"/>
      <c r="C73" s="49"/>
      <c r="D73" s="59"/>
      <c r="E73" s="57" t="str">
        <f>IFERROR(VLOOKUP($D73,'FOOD SHEET 4'!$B:$H,2,0),"")</f>
        <v/>
      </c>
      <c r="F73" s="58"/>
      <c r="G73" s="53" t="str">
        <f>IFERROR(VLOOKUP($D73,'FOOD SHEET 4'!$B:$H,4,0),"")</f>
        <v/>
      </c>
      <c r="H73" s="51" t="str">
        <f>IFERROR(VLOOKUP($D73,'FOOD SHEET 4'!$B:$H,5,0),"")</f>
        <v/>
      </c>
      <c r="I73" s="53" t="str">
        <f>IFERROR(VLOOKUP($D73,'FOOD SHEET 4'!$B:$H,6,0),"")</f>
        <v/>
      </c>
      <c r="J73" s="52" t="str">
        <f>IFERROR(VLOOKUP($D73,'FOOD SHEET 4'!$B:$H,7,0),"")</f>
        <v/>
      </c>
      <c r="K73" s="49"/>
      <c r="L73" s="5"/>
      <c r="M73" s="32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15.75" customHeight="1" thickTop="1" thickBot="1" x14ac:dyDescent="0.3">
      <c r="A74" s="5"/>
      <c r="B74" s="5"/>
      <c r="C74" s="49"/>
      <c r="D74" s="59"/>
      <c r="E74" s="57" t="str">
        <f>IFERROR(VLOOKUP($D74,'FOOD SHEET 4'!$B:$H,2,0),"")</f>
        <v/>
      </c>
      <c r="F74" s="58"/>
      <c r="G74" s="53" t="str">
        <f>IFERROR(VLOOKUP($D74,'FOOD SHEET 4'!$B:$H,4,0),"")</f>
        <v/>
      </c>
      <c r="H74" s="51" t="str">
        <f>IFERROR(VLOOKUP($D74,'FOOD SHEET 4'!$B:$H,5,0),"")</f>
        <v/>
      </c>
      <c r="I74" s="53" t="str">
        <f>IFERROR(VLOOKUP($D74,'FOOD SHEET 4'!$B:$H,6,0),"")</f>
        <v/>
      </c>
      <c r="J74" s="52" t="str">
        <f>IFERROR(VLOOKUP($D74,'FOOD SHEET 4'!$B:$H,7,0),"")</f>
        <v/>
      </c>
      <c r="K74" s="49"/>
      <c r="L74" s="5"/>
      <c r="M74" s="32"/>
    </row>
    <row r="75" spans="1:26" ht="15.75" customHeight="1" thickTop="1" thickBot="1" x14ac:dyDescent="0.3">
      <c r="A75" s="5"/>
      <c r="B75" s="5"/>
      <c r="C75" s="49"/>
      <c r="D75" s="59"/>
      <c r="E75" s="57" t="str">
        <f>IFERROR(VLOOKUP($D75,'FOOD SHEET 4'!$B:$H,2,0),"")</f>
        <v/>
      </c>
      <c r="F75" s="58"/>
      <c r="G75" s="53" t="str">
        <f>IFERROR(VLOOKUP($D75,'FOOD SHEET 4'!$B:$H,4,0),"")</f>
        <v/>
      </c>
      <c r="H75" s="51" t="str">
        <f>IFERROR(VLOOKUP($D75,'FOOD SHEET 4'!$B:$H,5,0),"")</f>
        <v/>
      </c>
      <c r="I75" s="53" t="str">
        <f>IFERROR(VLOOKUP($D75,'FOOD SHEET 4'!$B:$H,6,0),"")</f>
        <v/>
      </c>
      <c r="J75" s="52" t="str">
        <f>IFERROR(VLOOKUP($D75,'FOOD SHEET 4'!$B:$H,7,0),"")</f>
        <v/>
      </c>
      <c r="K75" s="49"/>
      <c r="L75" s="5"/>
      <c r="M75" s="32"/>
    </row>
    <row r="76" spans="1:26" ht="15.75" customHeight="1" thickTop="1" x14ac:dyDescent="0.25">
      <c r="A76" s="13"/>
      <c r="B76" s="13"/>
      <c r="C76" s="13"/>
      <c r="D76" s="159"/>
      <c r="E76" s="159"/>
      <c r="F76" s="159"/>
      <c r="G76" s="159"/>
      <c r="H76" s="159"/>
      <c r="I76" s="159"/>
      <c r="J76" s="159"/>
      <c r="K76" s="13"/>
      <c r="L76" s="13"/>
      <c r="M76" s="33"/>
    </row>
    <row r="77" spans="1:26" ht="15.75" customHeight="1" x14ac:dyDescent="0.25">
      <c r="A77" s="13"/>
      <c r="B77" s="13"/>
      <c r="C77" s="13"/>
      <c r="D77" s="19" t="s">
        <v>19</v>
      </c>
      <c r="E77" s="19"/>
      <c r="F77" s="19"/>
      <c r="G77" s="20">
        <f t="shared" ref="G77:I77" si="4">SUM(G65:G75)</f>
        <v>0</v>
      </c>
      <c r="H77" s="20">
        <f t="shared" si="4"/>
        <v>0</v>
      </c>
      <c r="I77" s="20">
        <f t="shared" si="4"/>
        <v>0</v>
      </c>
      <c r="J77" s="20">
        <f>SUM(J63:J75)</f>
        <v>0</v>
      </c>
      <c r="K77" s="13"/>
      <c r="L77" s="13"/>
      <c r="M77" s="33"/>
    </row>
    <row r="78" spans="1:26" ht="15.75" customHeight="1" x14ac:dyDescent="0.2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33"/>
    </row>
    <row r="79" spans="1:26" ht="15.75" customHeight="1" thickBot="1" x14ac:dyDescent="0.35">
      <c r="A79" s="2"/>
      <c r="B79" s="2"/>
      <c r="C79" s="2"/>
      <c r="D79" s="14" t="s">
        <v>76</v>
      </c>
      <c r="E79" s="15"/>
      <c r="F79" s="15"/>
      <c r="G79" s="15"/>
      <c r="H79" s="15"/>
      <c r="I79" s="15"/>
      <c r="J79" s="15"/>
      <c r="K79" s="2"/>
      <c r="L79" s="2"/>
      <c r="M79" s="29"/>
    </row>
    <row r="80" spans="1:26" ht="15.75" customHeight="1" thickTop="1" thickBot="1" x14ac:dyDescent="0.3">
      <c r="A80" s="16"/>
      <c r="B80" s="16"/>
      <c r="C80" s="47"/>
      <c r="D80" s="157" t="s">
        <v>29</v>
      </c>
      <c r="E80" s="161" t="s">
        <v>31</v>
      </c>
      <c r="F80" s="157" t="s">
        <v>32</v>
      </c>
      <c r="G80" s="54" t="s">
        <v>9</v>
      </c>
      <c r="H80" s="50" t="s">
        <v>16</v>
      </c>
      <c r="I80" s="55" t="s">
        <v>17</v>
      </c>
      <c r="J80" s="163" t="s">
        <v>40</v>
      </c>
      <c r="K80" s="47"/>
      <c r="L80" s="16"/>
      <c r="M80" s="30"/>
    </row>
    <row r="81" spans="1:13" ht="15.75" customHeight="1" thickTop="1" thickBot="1" x14ac:dyDescent="0.3">
      <c r="A81" s="16"/>
      <c r="B81" s="16"/>
      <c r="C81" s="47"/>
      <c r="D81" s="158"/>
      <c r="E81" s="162"/>
      <c r="F81" s="160"/>
      <c r="G81" s="54" t="s">
        <v>7</v>
      </c>
      <c r="H81" s="50" t="s">
        <v>7</v>
      </c>
      <c r="I81" s="55" t="s">
        <v>7</v>
      </c>
      <c r="J81" s="164"/>
      <c r="K81" s="47"/>
      <c r="L81" s="16"/>
      <c r="M81" s="30"/>
    </row>
    <row r="82" spans="1:13" ht="15.75" customHeight="1" thickTop="1" thickBot="1" x14ac:dyDescent="0.3">
      <c r="A82" s="17"/>
      <c r="B82" s="17"/>
      <c r="C82" s="48"/>
      <c r="D82" s="59"/>
      <c r="E82" s="57" t="str">
        <f>IFERROR(VLOOKUP($D82,'FOOD SHEET 5'!$B:$H,2,0),"")</f>
        <v/>
      </c>
      <c r="F82" s="58"/>
      <c r="G82" s="53" t="str">
        <f>IFERROR(VLOOKUP($D82,'FOOD SHEET 5'!$B:$H,4,0),"")</f>
        <v/>
      </c>
      <c r="H82" s="51" t="str">
        <f>IFERROR(VLOOKUP($D82,'FOOD SHEET 5'!$B:$H,5,0),"")</f>
        <v/>
      </c>
      <c r="I82" s="56" t="str">
        <f>IFERROR(VLOOKUP($D82,'FOOD SHEET 5'!$B:$H,6,0),"")</f>
        <v/>
      </c>
      <c r="J82" s="52" t="str">
        <f>IFERROR(VLOOKUP($D82,'FOOD SHEET 5'!$B:$H,7,0),"")</f>
        <v/>
      </c>
      <c r="K82" s="48"/>
      <c r="L82" s="17"/>
      <c r="M82" s="31"/>
    </row>
    <row r="83" spans="1:13" ht="15.75" customHeight="1" thickTop="1" thickBot="1" x14ac:dyDescent="0.3">
      <c r="A83" s="17"/>
      <c r="B83" s="17"/>
      <c r="C83" s="48"/>
      <c r="D83" s="59"/>
      <c r="E83" s="57" t="str">
        <f>IFERROR(VLOOKUP($D83,'FOOD SHEET 5'!$B:$H,2,0),"")</f>
        <v/>
      </c>
      <c r="F83" s="58"/>
      <c r="G83" s="53" t="str">
        <f>IFERROR(VLOOKUP($D83,'FOOD SHEET 5'!$B:$H,4,0),"")</f>
        <v/>
      </c>
      <c r="H83" s="51" t="str">
        <f>IFERROR(VLOOKUP($D83,'FOOD SHEET 5'!$B:$H,5,0),"")</f>
        <v/>
      </c>
      <c r="I83" s="56" t="str">
        <f>IFERROR(VLOOKUP($D83,'FOOD SHEET 5'!$B:$H,6,0),"")</f>
        <v/>
      </c>
      <c r="J83" s="52" t="str">
        <f>IFERROR(VLOOKUP($D83,'FOOD SHEET 5'!$B:$H,7,0),"")</f>
        <v/>
      </c>
      <c r="K83" s="48"/>
      <c r="L83" s="17"/>
      <c r="M83" s="31"/>
    </row>
    <row r="84" spans="1:13" ht="15.75" customHeight="1" thickTop="1" thickBot="1" x14ac:dyDescent="0.3">
      <c r="A84" s="17"/>
      <c r="B84" s="17"/>
      <c r="C84" s="48"/>
      <c r="D84" s="59"/>
      <c r="E84" s="57" t="str">
        <f>IFERROR(VLOOKUP($D84,'FOOD SHEET 5'!$B:$H,2,0),"")</f>
        <v/>
      </c>
      <c r="F84" s="58"/>
      <c r="G84" s="53" t="str">
        <f>IFERROR(VLOOKUP($D84,'FOOD SHEET 5'!$B:$H,4,0),"")</f>
        <v/>
      </c>
      <c r="H84" s="51" t="str">
        <f>IFERROR(VLOOKUP($D84,'FOOD SHEET 5'!$B:$H,5,0),"")</f>
        <v/>
      </c>
      <c r="I84" s="56" t="str">
        <f>IFERROR(VLOOKUP($D84,'FOOD SHEET 5'!$B:$H,6,0),"")</f>
        <v/>
      </c>
      <c r="J84" s="52" t="str">
        <f>IFERROR(VLOOKUP($D84,'FOOD SHEET 5'!$B:$H,7,0),"")</f>
        <v/>
      </c>
      <c r="K84" s="48"/>
      <c r="L84" s="17"/>
      <c r="M84" s="31"/>
    </row>
    <row r="85" spans="1:13" ht="15.75" customHeight="1" thickTop="1" thickBot="1" x14ac:dyDescent="0.3">
      <c r="A85" s="5"/>
      <c r="B85" s="5"/>
      <c r="C85" s="49"/>
      <c r="D85" s="59"/>
      <c r="E85" s="57" t="str">
        <f>IFERROR(VLOOKUP($D85,'FOOD SHEET 5'!$B:$H,2,0),"")</f>
        <v/>
      </c>
      <c r="F85" s="58"/>
      <c r="G85" s="53" t="str">
        <f>IFERROR(VLOOKUP($D85,'FOOD SHEET 5'!$B:$H,4,0),"")</f>
        <v/>
      </c>
      <c r="H85" s="51" t="str">
        <f>IFERROR(VLOOKUP($D85,'FOOD SHEET 5'!$B:$H,5,0),"")</f>
        <v/>
      </c>
      <c r="I85" s="56" t="str">
        <f>IFERROR(VLOOKUP($D85,'FOOD SHEET 5'!$B:$H,6,0),"")</f>
        <v/>
      </c>
      <c r="J85" s="52" t="str">
        <f>IFERROR(VLOOKUP($D85,'FOOD SHEET 5'!$B:$H,7,0),"")</f>
        <v/>
      </c>
      <c r="K85" s="49"/>
      <c r="L85" s="5"/>
      <c r="M85" s="32"/>
    </row>
    <row r="86" spans="1:13" ht="15.75" customHeight="1" thickTop="1" thickBot="1" x14ac:dyDescent="0.3">
      <c r="A86" s="5"/>
      <c r="B86" s="5"/>
      <c r="C86" s="49"/>
      <c r="D86" s="59"/>
      <c r="E86" s="57" t="str">
        <f>IFERROR(VLOOKUP($D86,'FOOD SHEET 5'!$B:$H,2,0),"")</f>
        <v/>
      </c>
      <c r="F86" s="58"/>
      <c r="G86" s="53" t="str">
        <f>IFERROR(VLOOKUP($D86,'FOOD SHEET 5'!$B:$H,4,0),"")</f>
        <v/>
      </c>
      <c r="H86" s="51" t="str">
        <f>IFERROR(VLOOKUP($D86,'FOOD SHEET 5'!$B:$H,5,0),"")</f>
        <v/>
      </c>
      <c r="I86" s="56" t="str">
        <f>IFERROR(VLOOKUP($D86,'FOOD SHEET 5'!$B:$H,6,0),"")</f>
        <v/>
      </c>
      <c r="J86" s="52" t="str">
        <f>IFERROR(VLOOKUP($D86,'FOOD SHEET 5'!$B:$H,7,0),"")</f>
        <v/>
      </c>
      <c r="K86" s="49"/>
      <c r="L86" s="5"/>
      <c r="M86" s="32"/>
    </row>
    <row r="87" spans="1:13" ht="15.75" customHeight="1" thickTop="1" thickBot="1" x14ac:dyDescent="0.3">
      <c r="A87" s="5"/>
      <c r="B87" s="5"/>
      <c r="C87" s="49"/>
      <c r="D87" s="59"/>
      <c r="E87" s="57" t="str">
        <f>IFERROR(VLOOKUP($D87,'FOOD SHEET 5'!$B:$H,2,0),"")</f>
        <v/>
      </c>
      <c r="F87" s="58"/>
      <c r="G87" s="53" t="str">
        <f>IFERROR(VLOOKUP($D87,'FOOD SHEET 5'!$B:$H,4,0),"")</f>
        <v/>
      </c>
      <c r="H87" s="51" t="str">
        <f>IFERROR(VLOOKUP($D87,'FOOD SHEET 5'!$B:$H,5,0),"")</f>
        <v/>
      </c>
      <c r="I87" s="56" t="str">
        <f>IFERROR(VLOOKUP($D87,'FOOD SHEET 5'!$B:$H,6,0),"")</f>
        <v/>
      </c>
      <c r="J87" s="52" t="str">
        <f>IFERROR(VLOOKUP($D87,'FOOD SHEET 5'!$B:$H,7,0),"")</f>
        <v/>
      </c>
      <c r="K87" s="49"/>
      <c r="L87" s="5"/>
      <c r="M87" s="32"/>
    </row>
    <row r="88" spans="1:13" ht="15.75" customHeight="1" thickTop="1" thickBot="1" x14ac:dyDescent="0.3">
      <c r="A88" s="5"/>
      <c r="B88" s="5"/>
      <c r="C88" s="49"/>
      <c r="D88" s="59"/>
      <c r="E88" s="57" t="str">
        <f>IFERROR(VLOOKUP($D88,'FOOD SHEET 5'!$B:$H,2,0),"")</f>
        <v/>
      </c>
      <c r="F88" s="58"/>
      <c r="G88" s="53" t="str">
        <f>IFERROR(VLOOKUP($D88,'FOOD SHEET 5'!$B:$H,4,0),"")</f>
        <v/>
      </c>
      <c r="H88" s="51" t="str">
        <f>IFERROR(VLOOKUP($D88,'FOOD SHEET 5'!$B:$H,5,0),"")</f>
        <v/>
      </c>
      <c r="I88" s="56" t="str">
        <f>IFERROR(VLOOKUP($D88,'FOOD SHEET 5'!$B:$H,6,0),"")</f>
        <v/>
      </c>
      <c r="J88" s="52" t="str">
        <f>IFERROR(VLOOKUP($D88,'FOOD SHEET 5'!$B:$H,7,0),"")</f>
        <v/>
      </c>
      <c r="K88" s="49"/>
      <c r="L88" s="5"/>
      <c r="M88" s="32"/>
    </row>
    <row r="89" spans="1:13" ht="15.75" customHeight="1" thickTop="1" thickBot="1" x14ac:dyDescent="0.3">
      <c r="A89" s="5"/>
      <c r="B89" s="5"/>
      <c r="C89" s="49"/>
      <c r="D89" s="59"/>
      <c r="E89" s="57" t="str">
        <f>IFERROR(VLOOKUP($D89,'FOOD SHEET 5'!$B:$H,2,0),"")</f>
        <v/>
      </c>
      <c r="F89" s="58"/>
      <c r="G89" s="53" t="str">
        <f>IFERROR(VLOOKUP($D89,'FOOD SHEET 5'!$B:$H,4,0),"")</f>
        <v/>
      </c>
      <c r="H89" s="51" t="str">
        <f>IFERROR(VLOOKUP($D89,'FOOD SHEET 5'!$B:$H,5,0),"")</f>
        <v/>
      </c>
      <c r="I89" s="56" t="str">
        <f>IFERROR(VLOOKUP($D89,'FOOD SHEET 5'!$B:$H,6,0),"")</f>
        <v/>
      </c>
      <c r="J89" s="52" t="str">
        <f>IFERROR(VLOOKUP($D89,'FOOD SHEET 5'!$B:$H,7,0),"")</f>
        <v/>
      </c>
      <c r="K89" s="49"/>
      <c r="L89" s="5"/>
      <c r="M89" s="32"/>
    </row>
    <row r="90" spans="1:13" ht="15.75" customHeight="1" thickTop="1" thickBot="1" x14ac:dyDescent="0.3">
      <c r="A90" s="5"/>
      <c r="B90" s="5"/>
      <c r="C90" s="49"/>
      <c r="D90" s="59"/>
      <c r="E90" s="57" t="str">
        <f>IFERROR(VLOOKUP($D90,'FOOD SHEET 5'!$B:$H,2,0),"")</f>
        <v/>
      </c>
      <c r="F90" s="58"/>
      <c r="G90" s="53" t="str">
        <f>IFERROR(VLOOKUP($D90,'FOOD SHEET 5'!$B:$H,4,0),"")</f>
        <v/>
      </c>
      <c r="H90" s="51" t="str">
        <f>IFERROR(VLOOKUP($D90,'FOOD SHEET 5'!$B:$H,5,0),"")</f>
        <v/>
      </c>
      <c r="I90" s="56" t="str">
        <f>IFERROR(VLOOKUP($D90,'FOOD SHEET 5'!$B:$H,6,0),"")</f>
        <v/>
      </c>
      <c r="J90" s="52" t="str">
        <f>IFERROR(VLOOKUP($D90,'FOOD SHEET 5'!$B:$H,7,0),"")</f>
        <v/>
      </c>
      <c r="K90" s="49"/>
      <c r="L90" s="5"/>
      <c r="M90" s="32"/>
    </row>
    <row r="91" spans="1:13" ht="15.75" customHeight="1" thickTop="1" thickBot="1" x14ac:dyDescent="0.3">
      <c r="A91" s="5"/>
      <c r="B91" s="5"/>
      <c r="C91" s="49"/>
      <c r="D91" s="59"/>
      <c r="E91" s="57" t="str">
        <f>IFERROR(VLOOKUP($D91,'FOOD SHEET 5'!$B:$H,2,0),"")</f>
        <v/>
      </c>
      <c r="F91" s="58"/>
      <c r="G91" s="53" t="str">
        <f>IFERROR(VLOOKUP($D91,'FOOD SHEET 5'!$B:$H,4,0),"")</f>
        <v/>
      </c>
      <c r="H91" s="51" t="str">
        <f>IFERROR(VLOOKUP($D91,'FOOD SHEET 5'!$B:$H,5,0),"")</f>
        <v/>
      </c>
      <c r="I91" s="56" t="str">
        <f>IFERROR(VLOOKUP($D91,'FOOD SHEET 5'!$B:$H,6,0),"")</f>
        <v/>
      </c>
      <c r="J91" s="52" t="str">
        <f>IFERROR(VLOOKUP($D91,'FOOD SHEET 5'!$B:$H,7,0),"")</f>
        <v/>
      </c>
      <c r="K91" s="49"/>
      <c r="L91" s="5"/>
      <c r="M91" s="32"/>
    </row>
    <row r="92" spans="1:13" ht="15.75" customHeight="1" thickTop="1" thickBot="1" x14ac:dyDescent="0.3">
      <c r="A92" s="5"/>
      <c r="B92" s="5"/>
      <c r="C92" s="49"/>
      <c r="D92" s="59"/>
      <c r="E92" s="57" t="str">
        <f>IFERROR(VLOOKUP($D92,'FOOD SHEET 5'!$B:$H,2,0),"")</f>
        <v/>
      </c>
      <c r="F92" s="58"/>
      <c r="G92" s="53" t="str">
        <f>IFERROR(VLOOKUP($D92,'FOOD SHEET 5'!$B:$H,4,0),"")</f>
        <v/>
      </c>
      <c r="H92" s="51" t="str">
        <f>IFERROR(VLOOKUP($D92,'FOOD SHEET 5'!$B:$H,5,0),"")</f>
        <v/>
      </c>
      <c r="I92" s="56" t="str">
        <f>IFERROR(VLOOKUP($D92,'FOOD SHEET 5'!$B:$H,6,0),"")</f>
        <v/>
      </c>
      <c r="J92" s="52" t="str">
        <f>IFERROR(VLOOKUP($D92,'FOOD SHEET 5'!$B:$H,7,0),"")</f>
        <v/>
      </c>
      <c r="K92" s="49"/>
      <c r="L92" s="5"/>
      <c r="M92" s="32"/>
    </row>
    <row r="93" spans="1:13" ht="15.75" customHeight="1" thickTop="1" x14ac:dyDescent="0.25">
      <c r="A93" s="13"/>
      <c r="B93" s="13"/>
      <c r="C93" s="13"/>
      <c r="D93" s="159"/>
      <c r="E93" s="159"/>
      <c r="F93" s="159"/>
      <c r="G93" s="159"/>
      <c r="H93" s="159"/>
      <c r="I93" s="159"/>
      <c r="J93" s="159"/>
      <c r="K93" s="13"/>
      <c r="L93" s="13"/>
      <c r="M93" s="33"/>
    </row>
    <row r="94" spans="1:13" ht="15.75" customHeight="1" x14ac:dyDescent="0.25">
      <c r="A94" s="13"/>
      <c r="B94" s="13"/>
      <c r="C94" s="13"/>
      <c r="D94" s="19" t="s">
        <v>19</v>
      </c>
      <c r="E94" s="19"/>
      <c r="F94" s="19"/>
      <c r="G94" s="20">
        <f t="shared" ref="G94:J94" si="5">SUM(G82:G92)</f>
        <v>0</v>
      </c>
      <c r="H94" s="20">
        <f t="shared" si="5"/>
        <v>0</v>
      </c>
      <c r="I94" s="20">
        <f t="shared" si="5"/>
        <v>0</v>
      </c>
      <c r="J94" s="20">
        <f t="shared" si="5"/>
        <v>0</v>
      </c>
      <c r="K94" s="13"/>
      <c r="L94" s="13"/>
      <c r="M94" s="33"/>
    </row>
    <row r="95" spans="1:13" ht="15.75" customHeight="1" x14ac:dyDescent="0.2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33"/>
    </row>
    <row r="96" spans="1:13" ht="15.75" customHeight="1" thickBot="1" x14ac:dyDescent="0.35">
      <c r="A96" s="2"/>
      <c r="B96" s="2"/>
      <c r="C96" s="2"/>
      <c r="D96" s="14" t="s">
        <v>88</v>
      </c>
      <c r="E96" s="15"/>
      <c r="F96" s="15"/>
      <c r="G96" s="15"/>
      <c r="H96" s="15"/>
      <c r="I96" s="15"/>
      <c r="J96" s="15"/>
      <c r="K96" s="2"/>
      <c r="L96" s="2"/>
      <c r="M96" s="29"/>
    </row>
    <row r="97" spans="1:26" ht="15.75" customHeight="1" thickTop="1" thickBot="1" x14ac:dyDescent="0.3">
      <c r="A97" s="16"/>
      <c r="B97" s="16"/>
      <c r="C97" s="47"/>
      <c r="D97" s="157" t="s">
        <v>29</v>
      </c>
      <c r="E97" s="161" t="s">
        <v>31</v>
      </c>
      <c r="F97" s="157" t="s">
        <v>32</v>
      </c>
      <c r="G97" s="54" t="s">
        <v>9</v>
      </c>
      <c r="H97" s="50" t="s">
        <v>16</v>
      </c>
      <c r="I97" s="54" t="s">
        <v>17</v>
      </c>
      <c r="J97" s="163" t="s">
        <v>40</v>
      </c>
      <c r="K97" s="47"/>
      <c r="L97" s="16"/>
      <c r="M97" s="30"/>
    </row>
    <row r="98" spans="1:26" ht="15.75" customHeight="1" thickTop="1" thickBot="1" x14ac:dyDescent="0.3">
      <c r="A98" s="16"/>
      <c r="B98" s="16"/>
      <c r="C98" s="47"/>
      <c r="D98" s="158"/>
      <c r="E98" s="162"/>
      <c r="F98" s="160"/>
      <c r="G98" s="54" t="s">
        <v>7</v>
      </c>
      <c r="H98" s="50" t="s">
        <v>7</v>
      </c>
      <c r="I98" s="54" t="s">
        <v>7</v>
      </c>
      <c r="J98" s="164"/>
      <c r="K98" s="47"/>
      <c r="L98" s="16"/>
      <c r="M98" s="30"/>
    </row>
    <row r="99" spans="1:26" ht="15.75" customHeight="1" thickTop="1" thickBot="1" x14ac:dyDescent="0.3">
      <c r="A99" s="5"/>
      <c r="B99" s="5"/>
      <c r="C99" s="49"/>
      <c r="D99" s="59"/>
      <c r="E99" s="57" t="str">
        <f>IFERROR(VLOOKUP($D99,'FOOD SHEET 6'!$B:$H,2,0),"")</f>
        <v/>
      </c>
      <c r="F99" s="58"/>
      <c r="G99" s="53" t="str">
        <f>IFERROR(VLOOKUP($D99,'FOOD SHEET 6'!$B:$H,4,0),"")</f>
        <v/>
      </c>
      <c r="H99" s="51" t="str">
        <f>IFERROR(VLOOKUP($D99,'FOOD SHEET 6'!$B:$H,5,0),"")</f>
        <v/>
      </c>
      <c r="I99" s="53" t="str">
        <f>IFERROR(VLOOKUP($D99,'FOOD SHEET 6'!$B:$H,6,0),"")</f>
        <v/>
      </c>
      <c r="J99" s="52" t="str">
        <f>IFERROR(VLOOKUP($D99,'FOOD SHEET 6'!$B:$H,7,0),"")</f>
        <v/>
      </c>
      <c r="K99" s="49"/>
      <c r="L99" s="5"/>
      <c r="M99" s="32"/>
    </row>
    <row r="100" spans="1:26" ht="15.75" customHeight="1" thickTop="1" thickBot="1" x14ac:dyDescent="0.3">
      <c r="A100" s="5"/>
      <c r="B100" s="5"/>
      <c r="C100" s="49"/>
      <c r="D100" s="59"/>
      <c r="E100" s="57" t="str">
        <f>IFERROR(VLOOKUP($D100,'FOOD SHEET 6'!$B:$H,2,0),"")</f>
        <v/>
      </c>
      <c r="F100" s="58"/>
      <c r="G100" s="53" t="str">
        <f>IFERROR(VLOOKUP($D100,'FOOD SHEET 6'!$B:$H,4,0),"")</f>
        <v/>
      </c>
      <c r="H100" s="51" t="str">
        <f>IFERROR(VLOOKUP($D100,'FOOD SHEET 6'!$B:$H,5,0),"")</f>
        <v/>
      </c>
      <c r="I100" s="53" t="str">
        <f>IFERROR(VLOOKUP($D100,'FOOD SHEET 6'!$B:$H,6,0),"")</f>
        <v/>
      </c>
      <c r="J100" s="52" t="str">
        <f>IFERROR(VLOOKUP($D100,'FOOD SHEET 6'!$B:$H,7,0),"")</f>
        <v/>
      </c>
      <c r="K100" s="49"/>
      <c r="L100" s="5"/>
      <c r="M100" s="32"/>
    </row>
    <row r="101" spans="1:26" ht="15.75" customHeight="1" thickTop="1" thickBot="1" x14ac:dyDescent="0.3">
      <c r="A101" s="17"/>
      <c r="B101" s="17"/>
      <c r="C101" s="48"/>
      <c r="D101" s="59"/>
      <c r="E101" s="57" t="str">
        <f>IFERROR(VLOOKUP($D101,'FOOD SHEET 6'!$B:$H,2,0),"")</f>
        <v/>
      </c>
      <c r="F101" s="58"/>
      <c r="G101" s="53" t="str">
        <f>IFERROR(VLOOKUP($D101,'FOOD SHEET 6'!$B:$H,4,0),"")</f>
        <v/>
      </c>
      <c r="H101" s="51" t="str">
        <f>IFERROR(VLOOKUP($D101,'FOOD SHEET 6'!$B:$H,5,0),"")</f>
        <v/>
      </c>
      <c r="I101" s="53" t="str">
        <f>IFERROR(VLOOKUP($D101,'FOOD SHEET 6'!$B:$H,6,0),"")</f>
        <v/>
      </c>
      <c r="J101" s="52" t="str">
        <f>IFERROR(VLOOKUP($D101,'FOOD SHEET 6'!$B:$H,7,0),"")</f>
        <v/>
      </c>
      <c r="K101" s="48"/>
      <c r="L101" s="17"/>
      <c r="M101" s="31"/>
    </row>
    <row r="102" spans="1:26" ht="15.75" customHeight="1" thickTop="1" thickBot="1" x14ac:dyDescent="0.3">
      <c r="A102" s="17"/>
      <c r="B102" s="17"/>
      <c r="C102" s="48"/>
      <c r="D102" s="59"/>
      <c r="E102" s="57" t="str">
        <f>IFERROR(VLOOKUP($D102,'FOOD SHEET 6'!$B:$H,2,0),"")</f>
        <v/>
      </c>
      <c r="F102" s="58"/>
      <c r="G102" s="53" t="str">
        <f>IFERROR(VLOOKUP($D102,'FOOD SHEET 6'!$B:$H,4,0),"")</f>
        <v/>
      </c>
      <c r="H102" s="51" t="str">
        <f>IFERROR(VLOOKUP($D102,'FOOD SHEET 6'!$B:$H,5,0),"")</f>
        <v/>
      </c>
      <c r="I102" s="53" t="str">
        <f>IFERROR(VLOOKUP($D102,'FOOD SHEET 6'!$B:$H,6,0),"")</f>
        <v/>
      </c>
      <c r="J102" s="52" t="str">
        <f>IFERROR(VLOOKUP($D102,'FOOD SHEET 6'!$B:$H,7,0),"")</f>
        <v/>
      </c>
      <c r="K102" s="48"/>
      <c r="L102" s="17"/>
      <c r="M102" s="31"/>
    </row>
    <row r="103" spans="1:26" ht="15.75" customHeight="1" thickTop="1" thickBot="1" x14ac:dyDescent="0.3">
      <c r="A103" s="17"/>
      <c r="B103" s="17"/>
      <c r="C103" s="48"/>
      <c r="D103" s="59"/>
      <c r="E103" s="57" t="str">
        <f>IFERROR(VLOOKUP($D103,'FOOD SHEET 6'!$B:$H,2,0),"")</f>
        <v/>
      </c>
      <c r="F103" s="58"/>
      <c r="G103" s="53" t="str">
        <f>IFERROR(VLOOKUP($D103,'FOOD SHEET 6'!$B:$H,4,0),"")</f>
        <v/>
      </c>
      <c r="H103" s="51" t="str">
        <f>IFERROR(VLOOKUP($D103,'FOOD SHEET 6'!$B:$H,5,0),"")</f>
        <v/>
      </c>
      <c r="I103" s="53" t="str">
        <f>IFERROR(VLOOKUP($D103,'FOOD SHEET 6'!$B:$H,6,0),"")</f>
        <v/>
      </c>
      <c r="J103" s="52" t="str">
        <f>IFERROR(VLOOKUP($D103,'FOOD SHEET 6'!$B:$H,7,0),"")</f>
        <v/>
      </c>
      <c r="K103" s="48"/>
      <c r="L103" s="17"/>
      <c r="M103" s="31"/>
    </row>
    <row r="104" spans="1:26" ht="15.75" customHeight="1" thickTop="1" thickBot="1" x14ac:dyDescent="0.3">
      <c r="A104" s="17"/>
      <c r="B104" s="17"/>
      <c r="C104" s="48"/>
      <c r="D104" s="59"/>
      <c r="E104" s="57" t="str">
        <f>IFERROR(VLOOKUP($D104,'FOOD SHEET 6'!$B:$H,2,0),"")</f>
        <v/>
      </c>
      <c r="F104" s="58"/>
      <c r="G104" s="53" t="str">
        <f>IFERROR(VLOOKUP($D104,'FOOD SHEET 6'!$B:$H,4,0),"")</f>
        <v/>
      </c>
      <c r="H104" s="51" t="str">
        <f>IFERROR(VLOOKUP($D104,'FOOD SHEET 6'!$B:$H,5,0),"")</f>
        <v/>
      </c>
      <c r="I104" s="53" t="str">
        <f>IFERROR(VLOOKUP($D104,'FOOD SHEET 6'!$B:$H,6,0),"")</f>
        <v/>
      </c>
      <c r="J104" s="52" t="str">
        <f>IFERROR(VLOOKUP($D104,'FOOD SHEET 6'!$B:$H,7,0),"")</f>
        <v/>
      </c>
      <c r="K104" s="48"/>
      <c r="L104" s="17"/>
      <c r="M104" s="31"/>
    </row>
    <row r="105" spans="1:26" ht="15.75" customHeight="1" thickTop="1" thickBot="1" x14ac:dyDescent="0.3">
      <c r="A105" s="5"/>
      <c r="B105" s="5"/>
      <c r="C105" s="49"/>
      <c r="D105" s="59"/>
      <c r="E105" s="57" t="str">
        <f>IFERROR(VLOOKUP($D105,'FOOD SHEET 6'!$B:$H,2,0),"")</f>
        <v/>
      </c>
      <c r="F105" s="58"/>
      <c r="G105" s="53" t="str">
        <f>IFERROR(VLOOKUP($D105,'FOOD SHEET 6'!$B:$H,4,0),"")</f>
        <v/>
      </c>
      <c r="H105" s="51" t="str">
        <f>IFERROR(VLOOKUP($D105,'FOOD SHEET 6'!$B:$H,5,0),"")</f>
        <v/>
      </c>
      <c r="I105" s="53" t="str">
        <f>IFERROR(VLOOKUP($D105,'FOOD SHEET 6'!$B:$H,6,0),"")</f>
        <v/>
      </c>
      <c r="J105" s="52" t="str">
        <f>IFERROR(VLOOKUP($D105,'FOOD SHEET 6'!$B:$H,7,0),"")</f>
        <v/>
      </c>
      <c r="K105" s="49"/>
      <c r="L105" s="5"/>
      <c r="M105" s="32"/>
    </row>
    <row r="106" spans="1:26" ht="15.75" customHeight="1" thickTop="1" thickBot="1" x14ac:dyDescent="0.3">
      <c r="A106" s="5"/>
      <c r="B106" s="5"/>
      <c r="C106" s="49"/>
      <c r="D106" s="59"/>
      <c r="E106" s="57" t="str">
        <f>IFERROR(VLOOKUP($D106,'FOOD SHEET 6'!$B:$H,2,0),"")</f>
        <v/>
      </c>
      <c r="F106" s="58"/>
      <c r="G106" s="53" t="str">
        <f>IFERROR(VLOOKUP($D106,'FOOD SHEET 6'!$B:$H,4,0),"")</f>
        <v/>
      </c>
      <c r="H106" s="51" t="str">
        <f>IFERROR(VLOOKUP($D106,'FOOD SHEET 6'!$B:$H,5,0),"")</f>
        <v/>
      </c>
      <c r="I106" s="53" t="str">
        <f>IFERROR(VLOOKUP($D106,'FOOD SHEET 6'!$B:$H,6,0),"")</f>
        <v/>
      </c>
      <c r="J106" s="52" t="str">
        <f>IFERROR(VLOOKUP($D106,'FOOD SHEET 6'!$B:$H,7,0),"")</f>
        <v/>
      </c>
      <c r="K106" s="49"/>
      <c r="L106" s="5"/>
      <c r="M106" s="32"/>
    </row>
    <row r="107" spans="1:26" ht="15.75" customHeight="1" thickTop="1" thickBot="1" x14ac:dyDescent="0.3">
      <c r="A107" s="5"/>
      <c r="B107" s="5"/>
      <c r="C107" s="49"/>
      <c r="D107" s="59"/>
      <c r="E107" s="57" t="str">
        <f>IFERROR(VLOOKUP($D107,'FOOD SHEET 6'!$B:$H,2,0),"")</f>
        <v/>
      </c>
      <c r="F107" s="58"/>
      <c r="G107" s="53" t="str">
        <f>IFERROR(VLOOKUP($D107,'FOOD SHEET 6'!$B:$H,4,0),"")</f>
        <v/>
      </c>
      <c r="H107" s="51" t="str">
        <f>IFERROR(VLOOKUP($D107,'FOOD SHEET 6'!$B:$H,5,0),"")</f>
        <v/>
      </c>
      <c r="I107" s="53" t="str">
        <f>IFERROR(VLOOKUP($D107,'FOOD SHEET 6'!$B:$H,6,0),"")</f>
        <v/>
      </c>
      <c r="J107" s="52" t="str">
        <f>IFERROR(VLOOKUP($D107,'FOOD SHEET 6'!$B:$H,7,0),"")</f>
        <v/>
      </c>
      <c r="K107" s="49"/>
      <c r="L107" s="5"/>
      <c r="M107" s="32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15.75" customHeight="1" thickTop="1" thickBot="1" x14ac:dyDescent="0.3">
      <c r="A108" s="5"/>
      <c r="B108" s="5"/>
      <c r="C108" s="49"/>
      <c r="D108" s="59"/>
      <c r="E108" s="57" t="str">
        <f>IFERROR(VLOOKUP($D108,'FOOD SHEET 6'!$B:$H,2,0),"")</f>
        <v/>
      </c>
      <c r="F108" s="58"/>
      <c r="G108" s="53" t="str">
        <f>IFERROR(VLOOKUP($D108,'FOOD SHEET 6'!$B:$H,4,0),"")</f>
        <v/>
      </c>
      <c r="H108" s="51" t="str">
        <f>IFERROR(VLOOKUP($D108,'FOOD SHEET 6'!$B:$H,5,0),"")</f>
        <v/>
      </c>
      <c r="I108" s="53" t="str">
        <f>IFERROR(VLOOKUP($D108,'FOOD SHEET 6'!$B:$H,6,0),"")</f>
        <v/>
      </c>
      <c r="J108" s="52" t="str">
        <f>IFERROR(VLOOKUP($D108,'FOOD SHEET 6'!$B:$H,7,0),"")</f>
        <v/>
      </c>
      <c r="K108" s="49"/>
      <c r="L108" s="5"/>
      <c r="M108" s="32"/>
    </row>
    <row r="109" spans="1:26" ht="15.75" customHeight="1" thickTop="1" thickBot="1" x14ac:dyDescent="0.3">
      <c r="A109" s="5"/>
      <c r="B109" s="5"/>
      <c r="C109" s="49"/>
      <c r="D109" s="59"/>
      <c r="E109" s="57" t="str">
        <f>IFERROR(VLOOKUP($D109,'FOOD SHEET 6'!$B:$H,2,0),"")</f>
        <v/>
      </c>
      <c r="F109" s="58"/>
      <c r="G109" s="53" t="str">
        <f>IFERROR(VLOOKUP($D109,'FOOD SHEET 6'!$B:$H,4,0),"")</f>
        <v/>
      </c>
      <c r="H109" s="51" t="str">
        <f>IFERROR(VLOOKUP($D109,'FOOD SHEET 6'!$B:$H,5,0),"")</f>
        <v/>
      </c>
      <c r="I109" s="53" t="str">
        <f>IFERROR(VLOOKUP($D109,'FOOD SHEET 6'!$B:$H,6,0),"")</f>
        <v/>
      </c>
      <c r="J109" s="52" t="str">
        <f>IFERROR(VLOOKUP($D109,'FOOD SHEET 6'!$B:$H,7,0),"")</f>
        <v/>
      </c>
      <c r="K109" s="49"/>
      <c r="L109" s="5"/>
      <c r="M109" s="32"/>
    </row>
    <row r="110" spans="1:26" ht="15.75" customHeight="1" thickTop="1" x14ac:dyDescent="0.25">
      <c r="A110" s="13"/>
      <c r="B110" s="13"/>
      <c r="C110" s="13"/>
      <c r="D110" s="159"/>
      <c r="E110" s="159"/>
      <c r="F110" s="159"/>
      <c r="G110" s="159"/>
      <c r="H110" s="159"/>
      <c r="I110" s="159"/>
      <c r="J110" s="159"/>
      <c r="K110" s="13"/>
      <c r="L110" s="13"/>
      <c r="M110" s="33"/>
    </row>
    <row r="111" spans="1:26" ht="15.75" customHeight="1" x14ac:dyDescent="0.25">
      <c r="A111" s="13"/>
      <c r="B111" s="13"/>
      <c r="C111" s="13"/>
      <c r="D111" s="19" t="s">
        <v>19</v>
      </c>
      <c r="E111" s="19"/>
      <c r="F111" s="19"/>
      <c r="G111" s="20">
        <f t="shared" ref="G111:I111" si="6">SUM(G99:G109)</f>
        <v>0</v>
      </c>
      <c r="H111" s="20">
        <f t="shared" si="6"/>
        <v>0</v>
      </c>
      <c r="I111" s="20">
        <f t="shared" si="6"/>
        <v>0</v>
      </c>
      <c r="J111" s="20">
        <f>SUM(J97:J109)</f>
        <v>0</v>
      </c>
      <c r="K111" s="13"/>
      <c r="L111" s="13"/>
      <c r="M111" s="33"/>
    </row>
    <row r="112" spans="1:26" ht="15.75" customHeight="1" x14ac:dyDescent="0.2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33"/>
    </row>
    <row r="113" spans="1:26" ht="15.75" customHeight="1" thickBot="1" x14ac:dyDescent="0.35">
      <c r="A113" s="2"/>
      <c r="B113" s="2"/>
      <c r="C113" s="2"/>
      <c r="D113" s="14" t="s">
        <v>94</v>
      </c>
      <c r="E113" s="15"/>
      <c r="F113" s="15"/>
      <c r="G113" s="15"/>
      <c r="H113" s="15"/>
      <c r="I113" s="15"/>
      <c r="J113" s="15"/>
      <c r="K113" s="2"/>
      <c r="L113" s="2"/>
      <c r="M113" s="29"/>
    </row>
    <row r="114" spans="1:26" ht="15.75" customHeight="1" thickTop="1" thickBot="1" x14ac:dyDescent="0.3">
      <c r="A114" s="16"/>
      <c r="B114" s="16"/>
      <c r="C114" s="47"/>
      <c r="D114" s="157" t="s">
        <v>29</v>
      </c>
      <c r="E114" s="161" t="s">
        <v>31</v>
      </c>
      <c r="F114" s="157" t="s">
        <v>32</v>
      </c>
      <c r="G114" s="54" t="s">
        <v>9</v>
      </c>
      <c r="H114" s="50" t="s">
        <v>16</v>
      </c>
      <c r="I114" s="54" t="s">
        <v>17</v>
      </c>
      <c r="J114" s="163" t="s">
        <v>40</v>
      </c>
      <c r="K114" s="47"/>
      <c r="L114" s="16"/>
      <c r="M114" s="30"/>
    </row>
    <row r="115" spans="1:26" ht="15.75" customHeight="1" thickTop="1" thickBot="1" x14ac:dyDescent="0.3">
      <c r="A115" s="16"/>
      <c r="B115" s="16"/>
      <c r="C115" s="47"/>
      <c r="D115" s="158"/>
      <c r="E115" s="162"/>
      <c r="F115" s="160"/>
      <c r="G115" s="54" t="s">
        <v>7</v>
      </c>
      <c r="H115" s="50" t="s">
        <v>7</v>
      </c>
      <c r="I115" s="54" t="s">
        <v>7</v>
      </c>
      <c r="J115" s="164"/>
      <c r="K115" s="47"/>
      <c r="L115" s="16"/>
      <c r="M115" s="30"/>
    </row>
    <row r="116" spans="1:26" ht="15.75" customHeight="1" thickTop="1" thickBot="1" x14ac:dyDescent="0.3">
      <c r="A116" s="17"/>
      <c r="B116" s="17"/>
      <c r="C116" s="48"/>
      <c r="D116" s="59"/>
      <c r="E116" s="57" t="str">
        <f>IFERROR(VLOOKUP($D116,'FOOD SHEET 7'!$B:$H,2,0),"")</f>
        <v/>
      </c>
      <c r="F116" s="58"/>
      <c r="G116" s="53" t="str">
        <f>IFERROR(VLOOKUP($D116,'FOOD SHEET 7'!$B:$H,4,0),"")</f>
        <v/>
      </c>
      <c r="H116" s="51" t="str">
        <f>IFERROR(VLOOKUP($D116,'FOOD SHEET 7'!$B:$H,5,0),"")</f>
        <v/>
      </c>
      <c r="I116" s="53" t="str">
        <f>IFERROR(VLOOKUP($D116,'FOOD SHEET 7'!$B:$H,6,0),"")</f>
        <v/>
      </c>
      <c r="J116" s="52" t="str">
        <f>IFERROR(VLOOKUP($D116,'FOOD SHEET 7'!$B:$H,7,0),"")</f>
        <v/>
      </c>
      <c r="K116" s="48"/>
      <c r="L116" s="17"/>
      <c r="M116" s="31"/>
    </row>
    <row r="117" spans="1:26" ht="15.75" customHeight="1" thickTop="1" thickBot="1" x14ac:dyDescent="0.3">
      <c r="A117" s="17"/>
      <c r="B117" s="17"/>
      <c r="C117" s="48"/>
      <c r="D117" s="59"/>
      <c r="E117" s="57" t="str">
        <f>IFERROR(VLOOKUP($D117,'FOOD SHEET 7'!$B:$H,2,0),"")</f>
        <v/>
      </c>
      <c r="F117" s="58"/>
      <c r="G117" s="53" t="str">
        <f>IFERROR(VLOOKUP($D117,'FOOD SHEET 7'!$B:$H,4,0),"")</f>
        <v/>
      </c>
      <c r="H117" s="51" t="str">
        <f>IFERROR(VLOOKUP($D117,'FOOD SHEET 7'!$B:$H,5,0),"")</f>
        <v/>
      </c>
      <c r="I117" s="53" t="str">
        <f>IFERROR(VLOOKUP($D117,'FOOD SHEET 7'!$B:$H,6,0),"")</f>
        <v/>
      </c>
      <c r="J117" s="52" t="str">
        <f>IFERROR(VLOOKUP($D117,'FOOD SHEET 7'!$B:$H,7,0),"")</f>
        <v/>
      </c>
      <c r="K117" s="48"/>
      <c r="L117" s="17"/>
      <c r="M117" s="31"/>
    </row>
    <row r="118" spans="1:26" ht="16.5" customHeight="1" thickTop="1" thickBot="1" x14ac:dyDescent="0.3">
      <c r="A118" s="17"/>
      <c r="B118" s="17"/>
      <c r="C118" s="48"/>
      <c r="D118" s="59"/>
      <c r="E118" s="57" t="str">
        <f>IFERROR(VLOOKUP($D118,'FOOD SHEET 7'!$B:$H,2,0),"")</f>
        <v/>
      </c>
      <c r="F118" s="58"/>
      <c r="G118" s="53" t="str">
        <f>IFERROR(VLOOKUP($D118,'FOOD SHEET 7'!$B:$H,4,0),"")</f>
        <v/>
      </c>
      <c r="H118" s="51" t="str">
        <f>IFERROR(VLOOKUP($D118,'FOOD SHEET 7'!$B:$H,5,0),"")</f>
        <v/>
      </c>
      <c r="I118" s="53" t="str">
        <f>IFERROR(VLOOKUP($D118,'FOOD SHEET 7'!$B:$H,6,0),"")</f>
        <v/>
      </c>
      <c r="J118" s="52" t="str">
        <f>IFERROR(VLOOKUP($D118,'FOOD SHEET 7'!$B:$H,7,0),"")</f>
        <v/>
      </c>
      <c r="K118" s="48"/>
      <c r="L118" s="17"/>
      <c r="M118" s="31"/>
    </row>
    <row r="119" spans="1:26" ht="16.5" customHeight="1" thickTop="1" thickBot="1" x14ac:dyDescent="0.3">
      <c r="A119" s="5"/>
      <c r="B119" s="5"/>
      <c r="C119" s="49"/>
      <c r="D119" s="59"/>
      <c r="E119" s="57" t="str">
        <f>IFERROR(VLOOKUP($D119,'FOOD SHEET 7'!$B:$H,2,0),"")</f>
        <v/>
      </c>
      <c r="F119" s="58"/>
      <c r="G119" s="53" t="str">
        <f>IFERROR(VLOOKUP($D119,'FOOD SHEET 7'!$B:$H,4,0),"")</f>
        <v/>
      </c>
      <c r="H119" s="51" t="str">
        <f>IFERROR(VLOOKUP($D119,'FOOD SHEET 7'!$B:$H,5,0),"")</f>
        <v/>
      </c>
      <c r="I119" s="53" t="str">
        <f>IFERROR(VLOOKUP($D119,'FOOD SHEET 7'!$B:$H,6,0),"")</f>
        <v/>
      </c>
      <c r="J119" s="52" t="str">
        <f>IFERROR(VLOOKUP($D119,'FOOD SHEET 7'!$B:$H,7,0),"")</f>
        <v/>
      </c>
      <c r="K119" s="49"/>
      <c r="L119" s="5"/>
      <c r="M119" s="32"/>
    </row>
    <row r="120" spans="1:26" ht="15.75" customHeight="1" thickTop="1" thickBot="1" x14ac:dyDescent="0.3">
      <c r="A120" s="5"/>
      <c r="B120" s="5"/>
      <c r="C120" s="49"/>
      <c r="D120" s="59"/>
      <c r="E120" s="57" t="str">
        <f>IFERROR(VLOOKUP($D120,'FOOD SHEET 7'!$B:$H,2,0),"")</f>
        <v/>
      </c>
      <c r="F120" s="58"/>
      <c r="G120" s="53" t="str">
        <f>IFERROR(VLOOKUP($D120,'FOOD SHEET 7'!$B:$H,4,0),"")</f>
        <v/>
      </c>
      <c r="H120" s="51" t="str">
        <f>IFERROR(VLOOKUP($D120,'FOOD SHEET 7'!$B:$H,5,0),"")</f>
        <v/>
      </c>
      <c r="I120" s="53" t="str">
        <f>IFERROR(VLOOKUP($D120,'FOOD SHEET 7'!$B:$H,6,0),"")</f>
        <v/>
      </c>
      <c r="J120" s="52" t="str">
        <f>IFERROR(VLOOKUP($D120,'FOOD SHEET 7'!$B:$H,7,0),"")</f>
        <v/>
      </c>
      <c r="K120" s="49"/>
      <c r="L120" s="5"/>
      <c r="M120" s="32"/>
    </row>
    <row r="121" spans="1:26" ht="15.75" customHeight="1" thickTop="1" thickBot="1" x14ac:dyDescent="0.3">
      <c r="A121" s="5"/>
      <c r="B121" s="5"/>
      <c r="C121" s="49"/>
      <c r="D121" s="59"/>
      <c r="E121" s="57" t="str">
        <f>IFERROR(VLOOKUP($D121,'FOOD SHEET 7'!$B:$H,2,0),"")</f>
        <v/>
      </c>
      <c r="F121" s="58"/>
      <c r="G121" s="53" t="str">
        <f>IFERROR(VLOOKUP($D121,'FOOD SHEET 7'!$B:$H,4,0),"")</f>
        <v/>
      </c>
      <c r="H121" s="51" t="str">
        <f>IFERROR(VLOOKUP($D121,'FOOD SHEET 7'!$B:$H,5,0),"")</f>
        <v/>
      </c>
      <c r="I121" s="53" t="str">
        <f>IFERROR(VLOOKUP($D121,'FOOD SHEET 7'!$B:$H,6,0),"")</f>
        <v/>
      </c>
      <c r="J121" s="52" t="str">
        <f>IFERROR(VLOOKUP($D121,'FOOD SHEET 7'!$B:$H,7,0),"")</f>
        <v/>
      </c>
      <c r="K121" s="49"/>
      <c r="L121" s="5"/>
      <c r="M121" s="32"/>
    </row>
    <row r="122" spans="1:26" ht="15.75" customHeight="1" thickTop="1" thickBot="1" x14ac:dyDescent="0.3">
      <c r="A122" s="5"/>
      <c r="B122" s="5"/>
      <c r="C122" s="49"/>
      <c r="D122" s="59"/>
      <c r="E122" s="57" t="str">
        <f>IFERROR(VLOOKUP($D122,'FOOD SHEET 7'!$B:$H,2,0),"")</f>
        <v/>
      </c>
      <c r="F122" s="58"/>
      <c r="G122" s="53" t="str">
        <f>IFERROR(VLOOKUP($D122,'FOOD SHEET 7'!$B:$H,4,0),"")</f>
        <v/>
      </c>
      <c r="H122" s="51" t="str">
        <f>IFERROR(VLOOKUP($D122,'FOOD SHEET 7'!$B:$H,5,0),"")</f>
        <v/>
      </c>
      <c r="I122" s="53" t="str">
        <f>IFERROR(VLOOKUP($D122,'FOOD SHEET 7'!$B:$H,6,0),"")</f>
        <v/>
      </c>
      <c r="J122" s="52" t="str">
        <f>IFERROR(VLOOKUP($D122,'FOOD SHEET 7'!$B:$H,7,0),"")</f>
        <v/>
      </c>
      <c r="K122" s="49"/>
      <c r="L122" s="5"/>
      <c r="M122" s="32"/>
    </row>
    <row r="123" spans="1:26" ht="15.75" customHeight="1" thickTop="1" thickBot="1" x14ac:dyDescent="0.3">
      <c r="A123" s="5"/>
      <c r="B123" s="5"/>
      <c r="C123" s="49"/>
      <c r="D123" s="59"/>
      <c r="E123" s="57" t="str">
        <f>IFERROR(VLOOKUP($D123,'FOOD SHEET 7'!$B:$H,2,0),"")</f>
        <v/>
      </c>
      <c r="F123" s="58"/>
      <c r="G123" s="53" t="str">
        <f>IFERROR(VLOOKUP($D123,'FOOD SHEET 7'!$B:$H,4,0),"")</f>
        <v/>
      </c>
      <c r="H123" s="51" t="str">
        <f>IFERROR(VLOOKUP($D123,'FOOD SHEET 7'!$B:$H,5,0),"")</f>
        <v/>
      </c>
      <c r="I123" s="53" t="str">
        <f>IFERROR(VLOOKUP($D123,'FOOD SHEET 7'!$B:$H,6,0),"")</f>
        <v/>
      </c>
      <c r="J123" s="52" t="str">
        <f>IFERROR(VLOOKUP($D123,'FOOD SHEET 7'!$B:$H,7,0),"")</f>
        <v/>
      </c>
      <c r="K123" s="49"/>
      <c r="L123" s="5"/>
      <c r="M123" s="32"/>
    </row>
    <row r="124" spans="1:26" ht="15.75" customHeight="1" thickTop="1" thickBot="1" x14ac:dyDescent="0.3">
      <c r="A124" s="5"/>
      <c r="B124" s="5"/>
      <c r="C124" s="49"/>
      <c r="D124" s="59"/>
      <c r="E124" s="57" t="str">
        <f>IFERROR(VLOOKUP($D124,'FOOD SHEET 7'!$B:$H,2,0),"")</f>
        <v/>
      </c>
      <c r="F124" s="58"/>
      <c r="G124" s="53" t="str">
        <f>IFERROR(VLOOKUP($D124,'FOOD SHEET 7'!$B:$H,4,0),"")</f>
        <v/>
      </c>
      <c r="H124" s="51" t="str">
        <f>IFERROR(VLOOKUP($D124,'FOOD SHEET 7'!$B:$H,5,0),"")</f>
        <v/>
      </c>
      <c r="I124" s="53" t="str">
        <f>IFERROR(VLOOKUP($D124,'FOOD SHEET 7'!$B:$H,6,0),"")</f>
        <v/>
      </c>
      <c r="J124" s="52" t="str">
        <f>IFERROR(VLOOKUP($D124,'FOOD SHEET 7'!$B:$H,7,0),"")</f>
        <v/>
      </c>
      <c r="K124" s="49"/>
      <c r="L124" s="5"/>
      <c r="M124" s="32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15.75" customHeight="1" thickTop="1" thickBot="1" x14ac:dyDescent="0.3">
      <c r="A125" s="5"/>
      <c r="B125" s="5"/>
      <c r="C125" s="49"/>
      <c r="D125" s="59"/>
      <c r="E125" s="57" t="str">
        <f>IFERROR(VLOOKUP($D125,'FOOD SHEET 7'!$B:$H,2,0),"")</f>
        <v/>
      </c>
      <c r="F125" s="58"/>
      <c r="G125" s="53" t="str">
        <f>IFERROR(VLOOKUP($D125,'FOOD SHEET 7'!$B:$H,4,0),"")</f>
        <v/>
      </c>
      <c r="H125" s="51" t="str">
        <f>IFERROR(VLOOKUP($D125,'FOOD SHEET 7'!$B:$H,5,0),"")</f>
        <v/>
      </c>
      <c r="I125" s="53" t="str">
        <f>IFERROR(VLOOKUP($D125,'FOOD SHEET 7'!$B:$H,6,0),"")</f>
        <v/>
      </c>
      <c r="J125" s="52" t="str">
        <f>IFERROR(VLOOKUP($D125,'FOOD SHEET 7'!$B:$H,7,0),"")</f>
        <v/>
      </c>
      <c r="K125" s="49"/>
      <c r="L125" s="5"/>
      <c r="M125" s="32"/>
    </row>
    <row r="126" spans="1:26" ht="15.75" customHeight="1" thickTop="1" thickBot="1" x14ac:dyDescent="0.3">
      <c r="A126" s="5"/>
      <c r="B126" s="5"/>
      <c r="C126" s="49"/>
      <c r="D126" s="59"/>
      <c r="E126" s="57" t="str">
        <f>IFERROR(VLOOKUP($D126,'FOOD SHEET 7'!$B:$H,2,0),"")</f>
        <v/>
      </c>
      <c r="F126" s="58"/>
      <c r="G126" s="53" t="str">
        <f>IFERROR(VLOOKUP($D126,'FOOD SHEET 7'!$B:$H,4,0),"")</f>
        <v/>
      </c>
      <c r="H126" s="51" t="str">
        <f>IFERROR(VLOOKUP($D126,'FOOD SHEET 7'!$B:$H,5,0),"")</f>
        <v/>
      </c>
      <c r="I126" s="53" t="str">
        <f>IFERROR(VLOOKUP($D126,'FOOD SHEET 7'!$B:$H,6,0),"")</f>
        <v/>
      </c>
      <c r="J126" s="52" t="str">
        <f>IFERROR(VLOOKUP($D126,'FOOD SHEET 7'!$B:$H,7,0),"")</f>
        <v/>
      </c>
      <c r="K126" s="49"/>
      <c r="L126" s="5"/>
      <c r="M126" s="32"/>
    </row>
    <row r="127" spans="1:26" ht="15.75" customHeight="1" thickTop="1" x14ac:dyDescent="0.25">
      <c r="A127" s="13"/>
      <c r="B127" s="13"/>
      <c r="C127" s="13"/>
      <c r="D127" s="159"/>
      <c r="E127" s="159"/>
      <c r="F127" s="159"/>
      <c r="G127" s="159"/>
      <c r="H127" s="159"/>
      <c r="I127" s="159"/>
      <c r="J127" s="159"/>
      <c r="K127" s="13"/>
      <c r="L127" s="13"/>
      <c r="M127" s="33"/>
    </row>
    <row r="128" spans="1:26" s="28" customFormat="1" ht="15.75" customHeight="1" x14ac:dyDescent="0.25">
      <c r="A128" s="26"/>
      <c r="B128" s="26"/>
      <c r="C128" s="26"/>
      <c r="D128" s="37" t="s">
        <v>19</v>
      </c>
      <c r="E128" s="37"/>
      <c r="F128" s="37"/>
      <c r="G128" s="38">
        <f t="shared" ref="G128:I128" si="7">SUM(G116:G126)</f>
        <v>0</v>
      </c>
      <c r="H128" s="38">
        <f t="shared" si="7"/>
        <v>0</v>
      </c>
      <c r="I128" s="38">
        <f t="shared" si="7"/>
        <v>0</v>
      </c>
      <c r="J128" s="38">
        <f>SUM(J114:J126)</f>
        <v>0</v>
      </c>
      <c r="K128" s="26"/>
      <c r="L128" s="26"/>
      <c r="M128" s="39"/>
    </row>
    <row r="129" spans="1:13" s="36" customFormat="1" ht="15.75" customHeight="1" x14ac:dyDescent="0.25">
      <c r="A129" s="32"/>
      <c r="B129" s="32"/>
      <c r="C129" s="32"/>
      <c r="D129" s="32"/>
      <c r="E129" s="33"/>
      <c r="F129" s="32"/>
      <c r="G129" s="32"/>
      <c r="H129" s="32"/>
      <c r="I129" s="32"/>
      <c r="J129" s="32"/>
      <c r="K129" s="32"/>
      <c r="L129" s="32"/>
      <c r="M129" s="32"/>
    </row>
    <row r="130" spans="1:13" s="28" customFormat="1" ht="15.75" hidden="1" customHeight="1" x14ac:dyDescent="0.25">
      <c r="A130" s="27"/>
      <c r="B130" s="27"/>
      <c r="C130" s="27"/>
      <c r="D130" s="27"/>
      <c r="E130" s="37"/>
      <c r="F130" s="27"/>
      <c r="G130" s="27"/>
      <c r="H130" s="27"/>
      <c r="I130" s="27"/>
      <c r="J130" s="27"/>
      <c r="K130" s="27"/>
      <c r="L130" s="27"/>
      <c r="M130" s="40"/>
    </row>
    <row r="131" spans="1:13" ht="15.75" hidden="1" customHeight="1" x14ac:dyDescent="0.25">
      <c r="A131" s="18"/>
      <c r="B131" s="18"/>
      <c r="C131" s="18"/>
      <c r="D131" s="18"/>
      <c r="E131" s="19"/>
      <c r="F131" s="18"/>
      <c r="G131" s="18"/>
      <c r="H131" s="18"/>
      <c r="I131" s="18"/>
      <c r="J131" s="18"/>
      <c r="K131" s="18"/>
      <c r="L131" s="18"/>
      <c r="M131" s="34"/>
    </row>
    <row r="132" spans="1:13" ht="15.75" hidden="1" customHeight="1" x14ac:dyDescent="0.25">
      <c r="A132" s="18"/>
      <c r="B132" s="18"/>
      <c r="C132" s="18"/>
      <c r="D132" s="18"/>
      <c r="E132" s="19"/>
      <c r="F132" s="18"/>
      <c r="G132" s="18"/>
      <c r="H132" s="18"/>
      <c r="I132" s="18"/>
      <c r="J132" s="18"/>
      <c r="K132" s="18"/>
      <c r="L132" s="18"/>
      <c r="M132" s="34"/>
    </row>
    <row r="133" spans="1:13" ht="15.75" hidden="1" customHeight="1" x14ac:dyDescent="0.25">
      <c r="A133" s="18"/>
      <c r="B133" s="18"/>
      <c r="C133" s="18"/>
      <c r="D133" s="18"/>
      <c r="E133" s="19"/>
      <c r="F133" s="18"/>
      <c r="G133" s="18"/>
      <c r="H133" s="18"/>
      <c r="I133" s="18"/>
      <c r="J133" s="18"/>
      <c r="K133" s="18"/>
      <c r="L133" s="18"/>
      <c r="M133" s="34"/>
    </row>
    <row r="134" spans="1:13" ht="15.75" hidden="1" customHeight="1" x14ac:dyDescent="0.25">
      <c r="A134" s="18"/>
      <c r="B134" s="18"/>
      <c r="C134" s="18"/>
      <c r="D134" s="18"/>
      <c r="E134" s="19"/>
      <c r="F134" s="18"/>
      <c r="G134" s="18"/>
      <c r="H134" s="18"/>
      <c r="I134" s="18"/>
      <c r="J134" s="18"/>
      <c r="K134" s="18"/>
      <c r="L134" s="18"/>
      <c r="M134" s="34"/>
    </row>
    <row r="135" spans="1:13" ht="15.75" hidden="1" customHeight="1" x14ac:dyDescent="0.25">
      <c r="A135" s="18"/>
      <c r="B135" s="18"/>
      <c r="C135" s="18"/>
      <c r="D135" s="18"/>
      <c r="E135" s="19"/>
      <c r="F135" s="18"/>
      <c r="G135" s="18"/>
      <c r="H135" s="18"/>
      <c r="I135" s="18"/>
      <c r="J135" s="18"/>
      <c r="K135" s="18"/>
      <c r="L135" s="18"/>
      <c r="M135" s="34"/>
    </row>
    <row r="136" spans="1:13" ht="15.75" hidden="1" customHeight="1" x14ac:dyDescent="0.25">
      <c r="A136" s="18"/>
      <c r="B136" s="18"/>
      <c r="C136" s="18"/>
      <c r="D136" s="18"/>
      <c r="E136" s="19"/>
      <c r="F136" s="18"/>
      <c r="G136" s="18"/>
      <c r="H136" s="18"/>
      <c r="I136" s="18"/>
      <c r="J136" s="18"/>
      <c r="K136" s="18"/>
      <c r="L136" s="18"/>
      <c r="M136" s="34"/>
    </row>
    <row r="137" spans="1:13" ht="15.75" hidden="1" customHeight="1" x14ac:dyDescent="0.25">
      <c r="A137" s="18"/>
      <c r="B137" s="18"/>
      <c r="C137" s="18"/>
      <c r="D137" s="18"/>
      <c r="E137" s="19"/>
      <c r="F137" s="18"/>
      <c r="G137" s="18"/>
      <c r="H137" s="18"/>
      <c r="I137" s="18"/>
      <c r="J137" s="18"/>
      <c r="K137" s="18"/>
      <c r="L137" s="18"/>
      <c r="M137" s="34"/>
    </row>
    <row r="138" spans="1:13" ht="15.75" hidden="1" customHeight="1" x14ac:dyDescent="0.25">
      <c r="A138" s="18"/>
      <c r="B138" s="18"/>
      <c r="C138" s="18"/>
      <c r="D138" s="18"/>
      <c r="E138" s="19"/>
      <c r="F138" s="18"/>
      <c r="G138" s="18"/>
      <c r="H138" s="18"/>
      <c r="I138" s="18"/>
      <c r="J138" s="18"/>
      <c r="K138" s="18"/>
      <c r="L138" s="18"/>
      <c r="M138" s="34"/>
    </row>
    <row r="139" spans="1:13" ht="15.75" hidden="1" customHeight="1" x14ac:dyDescent="0.25">
      <c r="A139" s="18"/>
      <c r="B139" s="18"/>
      <c r="C139" s="18"/>
      <c r="D139" s="18"/>
      <c r="E139" s="19"/>
      <c r="F139" s="18"/>
      <c r="G139" s="18"/>
      <c r="H139" s="18"/>
      <c r="I139" s="18"/>
      <c r="J139" s="18"/>
      <c r="K139" s="18"/>
      <c r="L139" s="18"/>
      <c r="M139" s="34"/>
    </row>
    <row r="140" spans="1:13" ht="15.75" hidden="1" customHeight="1" x14ac:dyDescent="0.25">
      <c r="A140" s="18"/>
      <c r="B140" s="18"/>
      <c r="C140" s="18"/>
      <c r="D140" s="18"/>
      <c r="E140" s="19"/>
      <c r="F140" s="18"/>
      <c r="G140" s="18"/>
      <c r="H140" s="18"/>
      <c r="I140" s="18"/>
      <c r="J140" s="18"/>
      <c r="K140" s="18"/>
      <c r="L140" s="18"/>
      <c r="M140" s="34"/>
    </row>
    <row r="141" spans="1:13" ht="15.75" hidden="1" customHeight="1" x14ac:dyDescent="0.25">
      <c r="A141" s="18"/>
      <c r="B141" s="18"/>
      <c r="C141" s="18"/>
      <c r="D141" s="18"/>
      <c r="E141" s="19"/>
      <c r="F141" s="18"/>
      <c r="G141" s="18"/>
      <c r="H141" s="18"/>
      <c r="I141" s="18"/>
      <c r="J141" s="18"/>
      <c r="K141" s="18"/>
      <c r="L141" s="18"/>
      <c r="M141" s="34"/>
    </row>
    <row r="142" spans="1:13" ht="15.75" hidden="1" customHeight="1" x14ac:dyDescent="0.25">
      <c r="A142" s="18"/>
      <c r="B142" s="18"/>
      <c r="C142" s="18"/>
      <c r="D142" s="18"/>
      <c r="E142" s="19"/>
      <c r="F142" s="18"/>
      <c r="G142" s="18"/>
      <c r="H142" s="18"/>
      <c r="I142" s="18"/>
      <c r="J142" s="18"/>
      <c r="K142" s="18"/>
      <c r="L142" s="18"/>
      <c r="M142" s="34"/>
    </row>
    <row r="143" spans="1:13" ht="15.75" hidden="1" customHeight="1" x14ac:dyDescent="0.25">
      <c r="A143" s="18"/>
      <c r="B143" s="18"/>
      <c r="C143" s="18"/>
      <c r="D143" s="18"/>
      <c r="E143" s="19"/>
      <c r="F143" s="18"/>
      <c r="G143" s="18"/>
      <c r="H143" s="18"/>
      <c r="I143" s="18"/>
      <c r="J143" s="18"/>
      <c r="K143" s="18"/>
      <c r="L143" s="18"/>
      <c r="M143" s="34"/>
    </row>
    <row r="144" spans="1:13" ht="15.75" hidden="1" customHeight="1" x14ac:dyDescent="0.25">
      <c r="A144" s="18"/>
      <c r="B144" s="18"/>
      <c r="C144" s="18"/>
      <c r="D144" s="18"/>
      <c r="E144" s="19"/>
      <c r="F144" s="18"/>
      <c r="G144" s="18"/>
      <c r="H144" s="18"/>
      <c r="I144" s="18"/>
      <c r="J144" s="18"/>
      <c r="K144" s="18"/>
      <c r="L144" s="18"/>
      <c r="M144" s="34"/>
    </row>
    <row r="145" spans="1:13" ht="15.75" hidden="1" customHeight="1" x14ac:dyDescent="0.25">
      <c r="A145" s="18"/>
      <c r="B145" s="18"/>
      <c r="C145" s="18"/>
      <c r="D145" s="18"/>
      <c r="E145" s="19"/>
      <c r="F145" s="18"/>
      <c r="G145" s="18"/>
      <c r="H145" s="18"/>
      <c r="I145" s="18"/>
      <c r="J145" s="18"/>
      <c r="K145" s="18"/>
      <c r="L145" s="18"/>
      <c r="M145" s="34"/>
    </row>
    <row r="146" spans="1:13" ht="15.75" hidden="1" customHeight="1" x14ac:dyDescent="0.25">
      <c r="A146" s="18"/>
      <c r="B146" s="18"/>
      <c r="C146" s="18"/>
      <c r="D146" s="18"/>
      <c r="E146" s="19"/>
      <c r="F146" s="18"/>
      <c r="G146" s="18"/>
      <c r="H146" s="18"/>
      <c r="I146" s="18"/>
      <c r="J146" s="18"/>
      <c r="K146" s="18"/>
      <c r="L146" s="18"/>
      <c r="M146" s="34"/>
    </row>
    <row r="147" spans="1:13" ht="15.75" hidden="1" customHeight="1" x14ac:dyDescent="0.25">
      <c r="A147" s="18"/>
      <c r="B147" s="18"/>
      <c r="C147" s="18"/>
      <c r="D147" s="18"/>
      <c r="E147" s="19"/>
      <c r="F147" s="18"/>
      <c r="G147" s="18"/>
      <c r="H147" s="18"/>
      <c r="I147" s="18"/>
      <c r="J147" s="18"/>
      <c r="K147" s="18"/>
      <c r="L147" s="18"/>
      <c r="M147" s="34"/>
    </row>
    <row r="148" spans="1:13" ht="15.75" hidden="1" customHeight="1" x14ac:dyDescent="0.25">
      <c r="A148" s="18"/>
      <c r="B148" s="18"/>
      <c r="C148" s="18"/>
      <c r="D148" s="18"/>
      <c r="E148" s="19"/>
      <c r="F148" s="18"/>
      <c r="G148" s="18"/>
      <c r="H148" s="18"/>
      <c r="I148" s="18"/>
      <c r="J148" s="18"/>
      <c r="K148" s="18"/>
      <c r="L148" s="18"/>
      <c r="M148" s="34"/>
    </row>
    <row r="149" spans="1:13" ht="15.75" hidden="1" customHeight="1" x14ac:dyDescent="0.25">
      <c r="A149" s="18"/>
      <c r="B149" s="18"/>
      <c r="C149" s="18"/>
      <c r="D149" s="18"/>
      <c r="E149" s="19"/>
      <c r="F149" s="18"/>
      <c r="G149" s="18"/>
      <c r="H149" s="18"/>
      <c r="I149" s="18"/>
      <c r="J149" s="18"/>
      <c r="K149" s="18"/>
      <c r="L149" s="18"/>
      <c r="M149" s="34"/>
    </row>
    <row r="150" spans="1:13" ht="15.75" hidden="1" customHeight="1" x14ac:dyDescent="0.25">
      <c r="A150" s="18"/>
      <c r="B150" s="18"/>
      <c r="C150" s="18"/>
      <c r="D150" s="18"/>
      <c r="E150" s="19"/>
      <c r="F150" s="18"/>
      <c r="G150" s="18"/>
      <c r="H150" s="18"/>
      <c r="I150" s="18"/>
      <c r="J150" s="18"/>
      <c r="K150" s="18"/>
      <c r="L150" s="18"/>
      <c r="M150" s="34"/>
    </row>
    <row r="151" spans="1:13" ht="15.75" hidden="1" customHeight="1" x14ac:dyDescent="0.25">
      <c r="A151" s="18"/>
      <c r="B151" s="18"/>
      <c r="C151" s="18"/>
      <c r="D151" s="18"/>
      <c r="E151" s="19"/>
      <c r="F151" s="18"/>
      <c r="G151" s="18"/>
      <c r="H151" s="18"/>
      <c r="I151" s="18"/>
      <c r="J151" s="18"/>
      <c r="K151" s="18"/>
      <c r="L151" s="18"/>
      <c r="M151" s="34"/>
    </row>
    <row r="152" spans="1:13" ht="15.75" hidden="1" customHeight="1" x14ac:dyDescent="0.25">
      <c r="A152" s="18"/>
      <c r="B152" s="18"/>
      <c r="C152" s="18"/>
      <c r="D152" s="18"/>
      <c r="E152" s="19"/>
      <c r="F152" s="18"/>
      <c r="G152" s="18"/>
      <c r="H152" s="18"/>
      <c r="I152" s="18"/>
      <c r="J152" s="18"/>
      <c r="K152" s="18"/>
      <c r="L152" s="18"/>
      <c r="M152" s="34"/>
    </row>
    <row r="153" spans="1:13" ht="15.75" hidden="1" customHeight="1" x14ac:dyDescent="0.25">
      <c r="A153" s="18"/>
      <c r="B153" s="18"/>
      <c r="C153" s="18"/>
      <c r="D153" s="18"/>
      <c r="E153" s="19"/>
      <c r="F153" s="18"/>
      <c r="G153" s="18"/>
      <c r="H153" s="18"/>
      <c r="I153" s="18"/>
      <c r="J153" s="18"/>
      <c r="K153" s="18"/>
      <c r="L153" s="18"/>
      <c r="M153" s="34"/>
    </row>
    <row r="154" spans="1:13" ht="15.75" hidden="1" customHeight="1" x14ac:dyDescent="0.25">
      <c r="A154" s="18"/>
      <c r="B154" s="18"/>
      <c r="C154" s="18"/>
      <c r="D154" s="18"/>
      <c r="E154" s="19"/>
      <c r="F154" s="18"/>
      <c r="G154" s="18"/>
      <c r="H154" s="18"/>
      <c r="I154" s="18"/>
      <c r="J154" s="18"/>
      <c r="K154" s="18"/>
      <c r="L154" s="18"/>
      <c r="M154" s="34"/>
    </row>
    <row r="155" spans="1:13" ht="15.75" hidden="1" customHeight="1" x14ac:dyDescent="0.25">
      <c r="A155" s="18"/>
      <c r="B155" s="18"/>
      <c r="C155" s="18"/>
      <c r="D155" s="18"/>
      <c r="E155" s="19"/>
      <c r="F155" s="18"/>
      <c r="G155" s="18"/>
      <c r="H155" s="18"/>
      <c r="I155" s="18"/>
      <c r="J155" s="18"/>
      <c r="K155" s="18"/>
      <c r="L155" s="18"/>
      <c r="M155" s="34"/>
    </row>
    <row r="156" spans="1:13" ht="15.75" hidden="1" customHeight="1" x14ac:dyDescent="0.25">
      <c r="A156" s="18"/>
      <c r="B156" s="18"/>
      <c r="C156" s="18"/>
      <c r="D156" s="18"/>
      <c r="E156" s="19"/>
      <c r="F156" s="18"/>
      <c r="G156" s="18"/>
      <c r="H156" s="18"/>
      <c r="I156" s="18"/>
      <c r="J156" s="18"/>
      <c r="K156" s="18"/>
      <c r="L156" s="18"/>
      <c r="M156" s="34"/>
    </row>
    <row r="157" spans="1:13" ht="15.75" hidden="1" customHeight="1" x14ac:dyDescent="0.25">
      <c r="A157" s="18"/>
      <c r="B157" s="18"/>
      <c r="C157" s="18"/>
      <c r="D157" s="18"/>
      <c r="E157" s="19"/>
      <c r="F157" s="18"/>
      <c r="G157" s="18"/>
      <c r="H157" s="18"/>
      <c r="I157" s="18"/>
      <c r="J157" s="18"/>
      <c r="K157" s="18"/>
      <c r="L157" s="18"/>
      <c r="M157" s="34"/>
    </row>
    <row r="158" spans="1:13" ht="15.75" hidden="1" customHeight="1" x14ac:dyDescent="0.25">
      <c r="A158" s="18"/>
      <c r="B158" s="18"/>
      <c r="C158" s="18"/>
      <c r="D158" s="18"/>
      <c r="E158" s="19"/>
      <c r="F158" s="18"/>
      <c r="G158" s="18"/>
      <c r="H158" s="18"/>
      <c r="I158" s="18"/>
      <c r="J158" s="18"/>
      <c r="K158" s="18"/>
      <c r="L158" s="18"/>
      <c r="M158" s="34"/>
    </row>
    <row r="159" spans="1:13" ht="15.75" hidden="1" customHeight="1" x14ac:dyDescent="0.25">
      <c r="A159" s="18"/>
      <c r="B159" s="18"/>
      <c r="C159" s="18"/>
      <c r="D159" s="18"/>
      <c r="E159" s="19"/>
      <c r="F159" s="18"/>
      <c r="G159" s="18"/>
      <c r="H159" s="18"/>
      <c r="I159" s="18"/>
      <c r="J159" s="18"/>
      <c r="K159" s="18"/>
      <c r="L159" s="18"/>
      <c r="M159" s="34"/>
    </row>
    <row r="160" spans="1:13" ht="15.75" hidden="1" customHeight="1" x14ac:dyDescent="0.25">
      <c r="A160" s="18"/>
      <c r="B160" s="18"/>
      <c r="C160" s="18"/>
      <c r="D160" s="18"/>
      <c r="E160" s="19"/>
      <c r="F160" s="18"/>
      <c r="G160" s="18"/>
      <c r="H160" s="18"/>
      <c r="I160" s="18"/>
      <c r="J160" s="18"/>
      <c r="K160" s="18"/>
      <c r="L160" s="18"/>
      <c r="M160" s="34"/>
    </row>
    <row r="161" spans="1:13" ht="15.75" hidden="1" customHeight="1" x14ac:dyDescent="0.25">
      <c r="A161" s="18"/>
      <c r="B161" s="18"/>
      <c r="C161" s="18"/>
      <c r="D161" s="18"/>
      <c r="E161" s="19"/>
      <c r="F161" s="18"/>
      <c r="G161" s="18"/>
      <c r="H161" s="18"/>
      <c r="I161" s="18"/>
      <c r="J161" s="18"/>
      <c r="K161" s="18"/>
      <c r="L161" s="18"/>
      <c r="M161" s="34"/>
    </row>
    <row r="162" spans="1:13" ht="15.75" hidden="1" customHeight="1" x14ac:dyDescent="0.25">
      <c r="A162" s="18"/>
      <c r="B162" s="18"/>
      <c r="C162" s="18"/>
      <c r="D162" s="18"/>
      <c r="E162" s="19"/>
      <c r="F162" s="18"/>
      <c r="G162" s="18"/>
      <c r="H162" s="18"/>
      <c r="I162" s="18"/>
      <c r="J162" s="18"/>
      <c r="K162" s="18"/>
      <c r="L162" s="18"/>
      <c r="M162" s="34"/>
    </row>
    <row r="163" spans="1:13" ht="15.75" hidden="1" customHeight="1" x14ac:dyDescent="0.25">
      <c r="A163" s="18"/>
      <c r="B163" s="18"/>
      <c r="C163" s="18"/>
      <c r="D163" s="18"/>
      <c r="E163" s="19"/>
      <c r="F163" s="18"/>
      <c r="G163" s="18"/>
      <c r="H163" s="18"/>
      <c r="I163" s="18"/>
      <c r="J163" s="18"/>
      <c r="K163" s="18"/>
      <c r="L163" s="18"/>
      <c r="M163" s="34"/>
    </row>
    <row r="164" spans="1:13" ht="15.75" hidden="1" customHeight="1" x14ac:dyDescent="0.25">
      <c r="A164" s="18"/>
      <c r="B164" s="18"/>
      <c r="C164" s="18"/>
      <c r="D164" s="18"/>
      <c r="E164" s="19"/>
      <c r="F164" s="18"/>
      <c r="G164" s="18"/>
      <c r="H164" s="18"/>
      <c r="I164" s="18"/>
      <c r="J164" s="18"/>
      <c r="K164" s="18"/>
      <c r="L164" s="18"/>
      <c r="M164" s="34"/>
    </row>
    <row r="165" spans="1:13" ht="15.75" hidden="1" customHeight="1" x14ac:dyDescent="0.25">
      <c r="A165" s="18"/>
      <c r="B165" s="18"/>
      <c r="C165" s="18"/>
      <c r="D165" s="18"/>
      <c r="E165" s="19"/>
      <c r="F165" s="18"/>
      <c r="G165" s="18"/>
      <c r="H165" s="18"/>
      <c r="I165" s="18"/>
      <c r="J165" s="18"/>
      <c r="K165" s="18"/>
      <c r="L165" s="18"/>
      <c r="M165" s="34"/>
    </row>
    <row r="166" spans="1:13" ht="15.75" hidden="1" customHeight="1" x14ac:dyDescent="0.25">
      <c r="A166" s="18"/>
      <c r="B166" s="18"/>
      <c r="C166" s="18"/>
      <c r="D166" s="18"/>
      <c r="E166" s="19"/>
      <c r="F166" s="18"/>
      <c r="G166" s="18"/>
      <c r="H166" s="18"/>
      <c r="I166" s="18"/>
      <c r="J166" s="18"/>
      <c r="K166" s="18"/>
      <c r="L166" s="18"/>
      <c r="M166" s="34"/>
    </row>
    <row r="167" spans="1:13" ht="15.75" hidden="1" customHeight="1" x14ac:dyDescent="0.25">
      <c r="A167" s="18"/>
      <c r="B167" s="18"/>
      <c r="C167" s="18"/>
      <c r="D167" s="18"/>
      <c r="E167" s="19"/>
      <c r="F167" s="18"/>
      <c r="G167" s="18"/>
      <c r="H167" s="18"/>
      <c r="I167" s="18"/>
      <c r="J167" s="18"/>
      <c r="K167" s="18"/>
      <c r="L167" s="18"/>
      <c r="M167" s="34"/>
    </row>
    <row r="168" spans="1:13" ht="15.75" hidden="1" customHeight="1" x14ac:dyDescent="0.25">
      <c r="A168" s="18"/>
      <c r="B168" s="18"/>
      <c r="C168" s="18"/>
      <c r="D168" s="18"/>
      <c r="E168" s="19"/>
      <c r="F168" s="18"/>
      <c r="G168" s="18"/>
      <c r="H168" s="18"/>
      <c r="I168" s="18"/>
      <c r="J168" s="18"/>
      <c r="K168" s="18"/>
      <c r="L168" s="18"/>
      <c r="M168" s="34"/>
    </row>
    <row r="169" spans="1:13" ht="15.75" hidden="1" customHeight="1" x14ac:dyDescent="0.25">
      <c r="A169" s="18"/>
      <c r="B169" s="18"/>
      <c r="C169" s="18"/>
      <c r="D169" s="18"/>
      <c r="E169" s="19"/>
      <c r="F169" s="18"/>
      <c r="G169" s="18"/>
      <c r="H169" s="18"/>
      <c r="I169" s="18"/>
      <c r="J169" s="18"/>
      <c r="K169" s="18"/>
      <c r="L169" s="18"/>
      <c r="M169" s="34"/>
    </row>
    <row r="170" spans="1:13" ht="15.75" hidden="1" customHeight="1" x14ac:dyDescent="0.25">
      <c r="A170" s="18"/>
      <c r="B170" s="18"/>
      <c r="C170" s="18"/>
      <c r="D170" s="18"/>
      <c r="E170" s="19"/>
      <c r="F170" s="18"/>
      <c r="G170" s="18"/>
      <c r="H170" s="18"/>
      <c r="I170" s="18"/>
      <c r="J170" s="18"/>
      <c r="K170" s="18"/>
      <c r="L170" s="18"/>
      <c r="M170" s="34"/>
    </row>
    <row r="171" spans="1:13" ht="15.75" hidden="1" customHeight="1" x14ac:dyDescent="0.25">
      <c r="A171" s="18"/>
      <c r="B171" s="18"/>
      <c r="C171" s="18"/>
      <c r="D171" s="18"/>
      <c r="E171" s="19"/>
      <c r="F171" s="18"/>
      <c r="G171" s="18"/>
      <c r="H171" s="18"/>
      <c r="I171" s="18"/>
      <c r="J171" s="18"/>
      <c r="K171" s="18"/>
      <c r="L171" s="18"/>
      <c r="M171" s="34"/>
    </row>
    <row r="172" spans="1:13" ht="15.75" hidden="1" customHeight="1" x14ac:dyDescent="0.25">
      <c r="A172" s="18"/>
      <c r="B172" s="18"/>
      <c r="C172" s="18"/>
      <c r="D172" s="18"/>
      <c r="E172" s="19"/>
      <c r="F172" s="18"/>
      <c r="G172" s="18"/>
      <c r="H172" s="18"/>
      <c r="I172" s="18"/>
      <c r="J172" s="18"/>
      <c r="K172" s="18"/>
      <c r="L172" s="18"/>
      <c r="M172" s="34"/>
    </row>
    <row r="173" spans="1:13" ht="15.75" hidden="1" customHeight="1" x14ac:dyDescent="0.25">
      <c r="A173" s="18"/>
      <c r="B173" s="18"/>
      <c r="C173" s="18"/>
      <c r="D173" s="18"/>
      <c r="E173" s="19"/>
      <c r="F173" s="18"/>
      <c r="G173" s="18"/>
      <c r="H173" s="18"/>
      <c r="I173" s="18"/>
      <c r="J173" s="18"/>
      <c r="K173" s="18"/>
      <c r="L173" s="18"/>
      <c r="M173" s="34"/>
    </row>
    <row r="174" spans="1:13" ht="15.75" hidden="1" customHeight="1" x14ac:dyDescent="0.25">
      <c r="A174" s="18"/>
      <c r="B174" s="18"/>
      <c r="C174" s="18"/>
      <c r="D174" s="18"/>
      <c r="E174" s="19"/>
      <c r="F174" s="18"/>
      <c r="G174" s="18"/>
      <c r="H174" s="18"/>
      <c r="I174" s="18"/>
      <c r="J174" s="18"/>
      <c r="K174" s="18"/>
      <c r="L174" s="18"/>
      <c r="M174" s="34"/>
    </row>
    <row r="175" spans="1:13" ht="15.75" hidden="1" customHeight="1" x14ac:dyDescent="0.25">
      <c r="A175" s="18"/>
      <c r="B175" s="18"/>
      <c r="C175" s="18"/>
      <c r="D175" s="18"/>
      <c r="E175" s="19"/>
      <c r="F175" s="18"/>
      <c r="G175" s="18"/>
      <c r="H175" s="18"/>
      <c r="I175" s="18"/>
      <c r="J175" s="18"/>
      <c r="K175" s="18"/>
      <c r="L175" s="18"/>
      <c r="M175" s="34"/>
    </row>
    <row r="176" spans="1:13" ht="15.75" hidden="1" customHeight="1" x14ac:dyDescent="0.25">
      <c r="A176" s="18"/>
      <c r="B176" s="18"/>
      <c r="C176" s="18"/>
      <c r="D176" s="18"/>
      <c r="E176" s="19"/>
      <c r="F176" s="18"/>
      <c r="G176" s="18"/>
      <c r="H176" s="18"/>
      <c r="I176" s="18"/>
      <c r="J176" s="18"/>
      <c r="K176" s="18"/>
      <c r="L176" s="18"/>
      <c r="M176" s="34"/>
    </row>
    <row r="177" spans="1:13" ht="15.75" hidden="1" customHeight="1" x14ac:dyDescent="0.25">
      <c r="A177" s="18"/>
      <c r="B177" s="18"/>
      <c r="C177" s="18"/>
      <c r="D177" s="18"/>
      <c r="E177" s="19"/>
      <c r="F177" s="18"/>
      <c r="G177" s="18"/>
      <c r="H177" s="18"/>
      <c r="I177" s="18"/>
      <c r="J177" s="18"/>
      <c r="K177" s="18"/>
      <c r="L177" s="18"/>
      <c r="M177" s="34"/>
    </row>
    <row r="178" spans="1:13" ht="15.75" hidden="1" customHeight="1" x14ac:dyDescent="0.25">
      <c r="A178" s="18"/>
      <c r="B178" s="18"/>
      <c r="C178" s="18"/>
      <c r="D178" s="18"/>
      <c r="E178" s="19"/>
      <c r="F178" s="18"/>
      <c r="G178" s="18"/>
      <c r="H178" s="18"/>
      <c r="I178" s="18"/>
      <c r="J178" s="18"/>
      <c r="K178" s="18"/>
      <c r="L178" s="18"/>
      <c r="M178" s="34"/>
    </row>
    <row r="179" spans="1:13" ht="15.75" hidden="1" customHeight="1" x14ac:dyDescent="0.25">
      <c r="A179" s="18"/>
      <c r="B179" s="18"/>
      <c r="C179" s="18"/>
      <c r="D179" s="18"/>
      <c r="E179" s="19"/>
      <c r="F179" s="18"/>
      <c r="G179" s="18"/>
      <c r="H179" s="18"/>
      <c r="I179" s="18"/>
      <c r="J179" s="18"/>
      <c r="K179" s="18"/>
      <c r="L179" s="18"/>
      <c r="M179" s="34"/>
    </row>
    <row r="180" spans="1:13" ht="15.75" hidden="1" customHeight="1" x14ac:dyDescent="0.25">
      <c r="A180" s="18"/>
      <c r="B180" s="18"/>
      <c r="C180" s="18"/>
      <c r="D180" s="18"/>
      <c r="E180" s="19"/>
      <c r="F180" s="18"/>
      <c r="G180" s="18"/>
      <c r="H180" s="18"/>
      <c r="I180" s="18"/>
      <c r="J180" s="18"/>
      <c r="K180" s="18"/>
      <c r="L180" s="18"/>
      <c r="M180" s="34"/>
    </row>
    <row r="181" spans="1:13" ht="15.75" hidden="1" customHeight="1" x14ac:dyDescent="0.25">
      <c r="A181" s="18"/>
      <c r="B181" s="18"/>
      <c r="C181" s="18"/>
      <c r="D181" s="18"/>
      <c r="E181" s="19"/>
      <c r="F181" s="18"/>
      <c r="G181" s="18"/>
      <c r="H181" s="18"/>
      <c r="I181" s="18"/>
      <c r="J181" s="18"/>
      <c r="K181" s="18"/>
      <c r="L181" s="18"/>
      <c r="M181" s="34"/>
    </row>
    <row r="182" spans="1:13" ht="15.75" hidden="1" customHeight="1" x14ac:dyDescent="0.25">
      <c r="A182" s="18"/>
      <c r="B182" s="18"/>
      <c r="C182" s="18"/>
      <c r="D182" s="18"/>
      <c r="E182" s="19"/>
      <c r="F182" s="18"/>
      <c r="G182" s="18"/>
      <c r="H182" s="18"/>
      <c r="I182" s="18"/>
      <c r="J182" s="18"/>
      <c r="K182" s="18"/>
      <c r="L182" s="18"/>
      <c r="M182" s="34"/>
    </row>
    <row r="183" spans="1:13" ht="15.75" hidden="1" customHeight="1" x14ac:dyDescent="0.25">
      <c r="A183" s="18"/>
      <c r="B183" s="18"/>
      <c r="C183" s="18"/>
      <c r="D183" s="18"/>
      <c r="E183" s="19"/>
      <c r="F183" s="18"/>
      <c r="G183" s="18"/>
      <c r="H183" s="18"/>
      <c r="I183" s="18"/>
      <c r="J183" s="18"/>
      <c r="K183" s="18"/>
      <c r="L183" s="18"/>
      <c r="M183" s="34"/>
    </row>
    <row r="184" spans="1:13" ht="15.75" hidden="1" customHeight="1" x14ac:dyDescent="0.25">
      <c r="A184" s="18"/>
      <c r="B184" s="18"/>
      <c r="C184" s="18"/>
      <c r="D184" s="18"/>
      <c r="E184" s="19"/>
      <c r="F184" s="18"/>
      <c r="G184" s="18"/>
      <c r="H184" s="18"/>
      <c r="I184" s="18"/>
      <c r="J184" s="18"/>
      <c r="K184" s="18"/>
      <c r="L184" s="18"/>
      <c r="M184" s="34"/>
    </row>
    <row r="185" spans="1:13" ht="15.75" hidden="1" customHeight="1" x14ac:dyDescent="0.25">
      <c r="A185" s="18"/>
      <c r="B185" s="18"/>
      <c r="C185" s="18"/>
      <c r="D185" s="18"/>
      <c r="E185" s="19"/>
      <c r="F185" s="18"/>
      <c r="G185" s="18"/>
      <c r="H185" s="18"/>
      <c r="I185" s="18"/>
      <c r="J185" s="18"/>
      <c r="K185" s="18"/>
      <c r="L185" s="18"/>
      <c r="M185" s="34"/>
    </row>
    <row r="186" spans="1:13" ht="15.75" hidden="1" customHeight="1" x14ac:dyDescent="0.25">
      <c r="A186" s="18"/>
      <c r="B186" s="18"/>
      <c r="C186" s="18"/>
      <c r="D186" s="18"/>
      <c r="E186" s="19"/>
      <c r="F186" s="18"/>
      <c r="G186" s="18"/>
      <c r="H186" s="18"/>
      <c r="I186" s="18"/>
      <c r="J186" s="18"/>
      <c r="K186" s="18"/>
      <c r="L186" s="18"/>
      <c r="M186" s="34"/>
    </row>
    <row r="187" spans="1:13" ht="15.75" hidden="1" customHeight="1" x14ac:dyDescent="0.25">
      <c r="A187" s="18"/>
      <c r="B187" s="18"/>
      <c r="C187" s="18"/>
      <c r="D187" s="18"/>
      <c r="E187" s="19"/>
      <c r="F187" s="18"/>
      <c r="G187" s="18"/>
      <c r="H187" s="18"/>
      <c r="I187" s="18"/>
      <c r="J187" s="18"/>
      <c r="K187" s="18"/>
      <c r="L187" s="18"/>
      <c r="M187" s="34"/>
    </row>
    <row r="188" spans="1:13" ht="15.75" hidden="1" customHeight="1" x14ac:dyDescent="0.25">
      <c r="A188" s="18"/>
      <c r="B188" s="18"/>
      <c r="C188" s="18"/>
      <c r="D188" s="18"/>
      <c r="E188" s="19"/>
      <c r="F188" s="18"/>
      <c r="G188" s="18"/>
      <c r="H188" s="18"/>
      <c r="I188" s="18"/>
      <c r="J188" s="18"/>
      <c r="K188" s="18"/>
      <c r="L188" s="18"/>
      <c r="M188" s="34"/>
    </row>
    <row r="189" spans="1:13" ht="15.75" hidden="1" customHeight="1" x14ac:dyDescent="0.25">
      <c r="A189" s="18"/>
      <c r="B189" s="18"/>
      <c r="C189" s="18"/>
      <c r="D189" s="18"/>
      <c r="E189" s="19"/>
      <c r="F189" s="18"/>
      <c r="G189" s="18"/>
      <c r="H189" s="18"/>
      <c r="I189" s="18"/>
      <c r="J189" s="18"/>
      <c r="K189" s="18"/>
      <c r="L189" s="18"/>
      <c r="M189" s="34"/>
    </row>
    <row r="190" spans="1:13" ht="15.75" hidden="1" customHeight="1" x14ac:dyDescent="0.25">
      <c r="A190" s="18"/>
      <c r="B190" s="18"/>
      <c r="C190" s="18"/>
      <c r="D190" s="18"/>
      <c r="E190" s="19"/>
      <c r="F190" s="18"/>
      <c r="G190" s="18"/>
      <c r="H190" s="18"/>
      <c r="I190" s="18"/>
      <c r="J190" s="18"/>
      <c r="K190" s="18"/>
      <c r="L190" s="18"/>
      <c r="M190" s="34"/>
    </row>
    <row r="191" spans="1:13" ht="15.75" hidden="1" customHeight="1" x14ac:dyDescent="0.25">
      <c r="A191" s="18"/>
      <c r="B191" s="18"/>
      <c r="C191" s="18"/>
      <c r="D191" s="18"/>
      <c r="E191" s="19"/>
      <c r="F191" s="18"/>
      <c r="G191" s="18"/>
      <c r="H191" s="18"/>
      <c r="I191" s="18"/>
      <c r="J191" s="18"/>
      <c r="K191" s="18"/>
      <c r="L191" s="18"/>
      <c r="M191" s="34"/>
    </row>
    <row r="192" spans="1:13" ht="15.75" hidden="1" customHeight="1" x14ac:dyDescent="0.25">
      <c r="A192" s="18"/>
      <c r="B192" s="18"/>
      <c r="C192" s="18"/>
      <c r="D192" s="18"/>
      <c r="E192" s="19"/>
      <c r="F192" s="18"/>
      <c r="G192" s="18"/>
      <c r="H192" s="18"/>
      <c r="I192" s="18"/>
      <c r="J192" s="18"/>
      <c r="K192" s="18"/>
      <c r="L192" s="18"/>
      <c r="M192" s="34"/>
    </row>
    <row r="193" spans="1:13" ht="15.75" hidden="1" customHeight="1" x14ac:dyDescent="0.25">
      <c r="A193" s="18"/>
      <c r="B193" s="18"/>
      <c r="C193" s="18"/>
      <c r="D193" s="18"/>
      <c r="E193" s="19"/>
      <c r="F193" s="18"/>
      <c r="G193" s="18"/>
      <c r="H193" s="18"/>
      <c r="I193" s="18"/>
      <c r="J193" s="18"/>
      <c r="K193" s="18"/>
      <c r="L193" s="18"/>
      <c r="M193" s="34"/>
    </row>
    <row r="194" spans="1:13" ht="15.75" hidden="1" customHeight="1" x14ac:dyDescent="0.25">
      <c r="A194" s="18"/>
      <c r="B194" s="18"/>
      <c r="C194" s="18"/>
      <c r="D194" s="18"/>
      <c r="E194" s="19"/>
      <c r="F194" s="18"/>
      <c r="G194" s="18"/>
      <c r="H194" s="18"/>
      <c r="I194" s="18"/>
      <c r="J194" s="18"/>
      <c r="K194" s="18"/>
      <c r="L194" s="18"/>
      <c r="M194" s="34"/>
    </row>
    <row r="195" spans="1:13" ht="15.75" hidden="1" customHeight="1" x14ac:dyDescent="0.25">
      <c r="A195" s="18"/>
      <c r="B195" s="18"/>
      <c r="C195" s="18"/>
      <c r="D195" s="18"/>
      <c r="E195" s="19"/>
      <c r="F195" s="18"/>
      <c r="G195" s="18"/>
      <c r="H195" s="18"/>
      <c r="I195" s="18"/>
      <c r="J195" s="18"/>
      <c r="K195" s="18"/>
      <c r="L195" s="18"/>
      <c r="M195" s="34"/>
    </row>
    <row r="196" spans="1:13" ht="15.75" hidden="1" customHeight="1" x14ac:dyDescent="0.25">
      <c r="A196" s="18"/>
      <c r="B196" s="18"/>
      <c r="C196" s="18"/>
      <c r="D196" s="18"/>
      <c r="E196" s="19"/>
      <c r="F196" s="18"/>
      <c r="G196" s="18"/>
      <c r="H196" s="18"/>
      <c r="I196" s="18"/>
      <c r="J196" s="18"/>
      <c r="K196" s="18"/>
      <c r="L196" s="18"/>
      <c r="M196" s="34"/>
    </row>
    <row r="197" spans="1:13" ht="15.75" hidden="1" customHeight="1" x14ac:dyDescent="0.25">
      <c r="A197" s="18"/>
      <c r="B197" s="18"/>
      <c r="C197" s="18"/>
      <c r="D197" s="18"/>
      <c r="E197" s="19"/>
      <c r="F197" s="18"/>
      <c r="G197" s="18"/>
      <c r="H197" s="18"/>
      <c r="I197" s="18"/>
      <c r="J197" s="18"/>
      <c r="K197" s="18"/>
      <c r="L197" s="18"/>
      <c r="M197" s="34"/>
    </row>
    <row r="198" spans="1:13" ht="15.75" hidden="1" customHeight="1" x14ac:dyDescent="0.25">
      <c r="A198" s="18"/>
      <c r="B198" s="18"/>
      <c r="C198" s="18"/>
      <c r="D198" s="18"/>
      <c r="E198" s="19"/>
      <c r="F198" s="18"/>
      <c r="G198" s="18"/>
      <c r="H198" s="18"/>
      <c r="I198" s="18"/>
      <c r="J198" s="18"/>
      <c r="K198" s="18"/>
      <c r="L198" s="18"/>
      <c r="M198" s="34"/>
    </row>
    <row r="199" spans="1:13" ht="15.75" hidden="1" customHeight="1" x14ac:dyDescent="0.25">
      <c r="A199" s="18"/>
      <c r="B199" s="18"/>
      <c r="C199" s="18"/>
      <c r="D199" s="18"/>
      <c r="E199" s="19"/>
      <c r="F199" s="18"/>
      <c r="G199" s="18"/>
      <c r="H199" s="18"/>
      <c r="I199" s="18"/>
      <c r="J199" s="18"/>
      <c r="K199" s="18"/>
      <c r="L199" s="18"/>
      <c r="M199" s="34"/>
    </row>
    <row r="200" spans="1:13" ht="15.75" hidden="1" customHeight="1" x14ac:dyDescent="0.25">
      <c r="A200" s="18"/>
      <c r="B200" s="18"/>
      <c r="C200" s="18"/>
      <c r="D200" s="18"/>
      <c r="E200" s="19"/>
      <c r="F200" s="18"/>
      <c r="G200" s="18"/>
      <c r="H200" s="18"/>
      <c r="I200" s="18"/>
      <c r="J200" s="18"/>
      <c r="K200" s="18"/>
      <c r="L200" s="18"/>
      <c r="M200" s="34"/>
    </row>
    <row r="201" spans="1:13" ht="15.75" hidden="1" customHeight="1" x14ac:dyDescent="0.25">
      <c r="A201" s="18"/>
      <c r="B201" s="18"/>
      <c r="C201" s="18"/>
      <c r="D201" s="18"/>
      <c r="E201" s="19"/>
      <c r="F201" s="18"/>
      <c r="G201" s="18"/>
      <c r="H201" s="18"/>
      <c r="I201" s="18"/>
      <c r="J201" s="18"/>
      <c r="K201" s="18"/>
      <c r="L201" s="18"/>
      <c r="M201" s="34"/>
    </row>
    <row r="202" spans="1:13" ht="15.75" hidden="1" customHeight="1" x14ac:dyDescent="0.25">
      <c r="A202" s="18"/>
      <c r="B202" s="18"/>
      <c r="C202" s="18"/>
      <c r="D202" s="18"/>
      <c r="E202" s="19"/>
      <c r="F202" s="18"/>
      <c r="G202" s="18"/>
      <c r="H202" s="18"/>
      <c r="I202" s="18"/>
      <c r="J202" s="18"/>
      <c r="K202" s="18"/>
      <c r="L202" s="18"/>
      <c r="M202" s="34"/>
    </row>
    <row r="203" spans="1:13" ht="15.75" hidden="1" customHeight="1" x14ac:dyDescent="0.25">
      <c r="A203" s="18"/>
      <c r="B203" s="18"/>
      <c r="C203" s="18"/>
      <c r="D203" s="18"/>
      <c r="E203" s="19"/>
      <c r="F203" s="18"/>
      <c r="G203" s="18"/>
      <c r="H203" s="18"/>
      <c r="I203" s="18"/>
      <c r="J203" s="18"/>
      <c r="K203" s="18"/>
      <c r="L203" s="18"/>
      <c r="M203" s="34"/>
    </row>
    <row r="204" spans="1:13" ht="15.75" hidden="1" customHeight="1" x14ac:dyDescent="0.25">
      <c r="A204" s="18"/>
      <c r="B204" s="18"/>
      <c r="C204" s="18"/>
      <c r="D204" s="18"/>
      <c r="E204" s="19"/>
      <c r="F204" s="18"/>
      <c r="G204" s="18"/>
      <c r="H204" s="18"/>
      <c r="I204" s="18"/>
      <c r="J204" s="18"/>
      <c r="K204" s="18"/>
      <c r="L204" s="18"/>
      <c r="M204" s="34"/>
    </row>
    <row r="205" spans="1:13" ht="15.75" hidden="1" customHeight="1" x14ac:dyDescent="0.25">
      <c r="A205" s="18"/>
      <c r="B205" s="18"/>
      <c r="C205" s="18"/>
      <c r="D205" s="18"/>
      <c r="E205" s="19"/>
      <c r="F205" s="18"/>
      <c r="G205" s="18"/>
      <c r="H205" s="18"/>
      <c r="I205" s="18"/>
      <c r="J205" s="18"/>
      <c r="K205" s="18"/>
      <c r="L205" s="18"/>
      <c r="M205" s="34"/>
    </row>
    <row r="206" spans="1:13" ht="15.75" hidden="1" customHeight="1" x14ac:dyDescent="0.25">
      <c r="A206" s="18"/>
      <c r="B206" s="18"/>
      <c r="C206" s="18"/>
      <c r="D206" s="18"/>
      <c r="E206" s="19"/>
      <c r="F206" s="18"/>
      <c r="G206" s="18"/>
      <c r="H206" s="18"/>
      <c r="I206" s="18"/>
      <c r="J206" s="18"/>
      <c r="K206" s="18"/>
      <c r="L206" s="18"/>
      <c r="M206" s="34"/>
    </row>
    <row r="207" spans="1:13" ht="15.75" hidden="1" customHeight="1" x14ac:dyDescent="0.25">
      <c r="A207" s="18"/>
      <c r="B207" s="18"/>
      <c r="C207" s="18"/>
      <c r="D207" s="18"/>
      <c r="E207" s="19"/>
      <c r="F207" s="18"/>
      <c r="G207" s="18"/>
      <c r="H207" s="18"/>
      <c r="I207" s="18"/>
      <c r="J207" s="18"/>
      <c r="K207" s="18"/>
      <c r="L207" s="18"/>
      <c r="M207" s="34"/>
    </row>
    <row r="208" spans="1:13" ht="15.75" hidden="1" customHeight="1" x14ac:dyDescent="0.25">
      <c r="A208" s="18"/>
      <c r="B208" s="18"/>
      <c r="C208" s="18"/>
      <c r="D208" s="18"/>
      <c r="E208" s="19"/>
      <c r="F208" s="18"/>
      <c r="G208" s="18"/>
      <c r="H208" s="18"/>
      <c r="I208" s="18"/>
      <c r="J208" s="18"/>
      <c r="K208" s="18"/>
      <c r="L208" s="18"/>
      <c r="M208" s="34"/>
    </row>
    <row r="209" spans="1:13" ht="15.75" hidden="1" customHeight="1" x14ac:dyDescent="0.25">
      <c r="A209" s="18"/>
      <c r="B209" s="18"/>
      <c r="C209" s="18"/>
      <c r="D209" s="18"/>
      <c r="E209" s="19"/>
      <c r="F209" s="18"/>
      <c r="G209" s="18"/>
      <c r="H209" s="18"/>
      <c r="I209" s="18"/>
      <c r="J209" s="18"/>
      <c r="K209" s="18"/>
      <c r="L209" s="18"/>
      <c r="M209" s="34"/>
    </row>
    <row r="210" spans="1:13" ht="15.75" hidden="1" customHeight="1" x14ac:dyDescent="0.25">
      <c r="A210" s="18"/>
      <c r="B210" s="18"/>
      <c r="C210" s="18"/>
      <c r="D210" s="18"/>
      <c r="E210" s="19"/>
      <c r="F210" s="18"/>
      <c r="G210" s="18"/>
      <c r="H210" s="18"/>
      <c r="I210" s="18"/>
      <c r="J210" s="18"/>
      <c r="K210" s="18"/>
      <c r="L210" s="18"/>
      <c r="M210" s="34"/>
    </row>
    <row r="211" spans="1:13" ht="15.75" hidden="1" customHeight="1" x14ac:dyDescent="0.25">
      <c r="A211" s="18"/>
      <c r="B211" s="18"/>
      <c r="C211" s="18"/>
      <c r="D211" s="18"/>
      <c r="E211" s="19"/>
      <c r="F211" s="18"/>
      <c r="G211" s="18"/>
      <c r="H211" s="18"/>
      <c r="I211" s="18"/>
      <c r="J211" s="18"/>
      <c r="K211" s="18"/>
      <c r="L211" s="18"/>
      <c r="M211" s="34"/>
    </row>
    <row r="212" spans="1:13" ht="15.75" hidden="1" customHeight="1" x14ac:dyDescent="0.25">
      <c r="A212" s="18"/>
      <c r="B212" s="18"/>
      <c r="C212" s="18"/>
      <c r="D212" s="18"/>
      <c r="E212" s="19"/>
      <c r="F212" s="18"/>
      <c r="G212" s="18"/>
      <c r="H212" s="18"/>
      <c r="I212" s="18"/>
      <c r="J212" s="18"/>
      <c r="K212" s="18"/>
      <c r="L212" s="18"/>
      <c r="M212" s="34"/>
    </row>
    <row r="213" spans="1:13" ht="15.75" hidden="1" customHeight="1" x14ac:dyDescent="0.25">
      <c r="A213" s="18"/>
      <c r="B213" s="18"/>
      <c r="C213" s="18"/>
      <c r="D213" s="18"/>
      <c r="E213" s="19"/>
      <c r="F213" s="18"/>
      <c r="G213" s="18"/>
      <c r="H213" s="18"/>
      <c r="I213" s="18"/>
      <c r="J213" s="18"/>
      <c r="K213" s="18"/>
      <c r="L213" s="18"/>
      <c r="M213" s="34"/>
    </row>
    <row r="214" spans="1:13" ht="15.75" hidden="1" customHeight="1" x14ac:dyDescent="0.25">
      <c r="A214" s="18"/>
      <c r="B214" s="18"/>
      <c r="C214" s="18"/>
      <c r="D214" s="18"/>
      <c r="E214" s="19"/>
      <c r="F214" s="18"/>
      <c r="G214" s="18"/>
      <c r="H214" s="18"/>
      <c r="I214" s="18"/>
      <c r="J214" s="18"/>
      <c r="K214" s="18"/>
      <c r="L214" s="18"/>
      <c r="M214" s="34"/>
    </row>
    <row r="215" spans="1:13" ht="15.75" hidden="1" customHeight="1" x14ac:dyDescent="0.25">
      <c r="A215" s="18"/>
      <c r="B215" s="18"/>
      <c r="C215" s="18"/>
      <c r="D215" s="18"/>
      <c r="E215" s="19"/>
      <c r="F215" s="18"/>
      <c r="G215" s="18"/>
      <c r="H215" s="18"/>
      <c r="I215" s="18"/>
      <c r="J215" s="18"/>
      <c r="K215" s="18"/>
      <c r="L215" s="18"/>
      <c r="M215" s="34"/>
    </row>
    <row r="216" spans="1:13" ht="15.75" hidden="1" customHeight="1" x14ac:dyDescent="0.25">
      <c r="A216" s="18"/>
      <c r="B216" s="18"/>
      <c r="C216" s="18"/>
      <c r="D216" s="18"/>
      <c r="E216" s="19"/>
      <c r="F216" s="18"/>
      <c r="G216" s="18"/>
      <c r="H216" s="18"/>
      <c r="I216" s="18"/>
      <c r="J216" s="18"/>
      <c r="K216" s="18"/>
      <c r="L216" s="18"/>
      <c r="M216" s="34"/>
    </row>
    <row r="217" spans="1:13" ht="15.75" hidden="1" customHeight="1" x14ac:dyDescent="0.25">
      <c r="A217" s="18"/>
      <c r="B217" s="18"/>
      <c r="C217" s="18"/>
      <c r="D217" s="18"/>
      <c r="E217" s="19"/>
      <c r="F217" s="18"/>
      <c r="G217" s="18"/>
      <c r="H217" s="18"/>
      <c r="I217" s="18"/>
      <c r="J217" s="18"/>
      <c r="K217" s="18"/>
      <c r="L217" s="18"/>
      <c r="M217" s="34"/>
    </row>
    <row r="218" spans="1:13" ht="15.75" hidden="1" customHeight="1" x14ac:dyDescent="0.25">
      <c r="A218" s="18"/>
      <c r="B218" s="18"/>
      <c r="C218" s="18"/>
      <c r="D218" s="18"/>
      <c r="E218" s="19"/>
      <c r="F218" s="18"/>
      <c r="G218" s="18"/>
      <c r="H218" s="18"/>
      <c r="I218" s="18"/>
      <c r="J218" s="18"/>
      <c r="K218" s="18"/>
      <c r="L218" s="18"/>
      <c r="M218" s="34"/>
    </row>
    <row r="219" spans="1:13" ht="15.75" hidden="1" customHeight="1" x14ac:dyDescent="0.25">
      <c r="A219" s="18"/>
      <c r="B219" s="18"/>
      <c r="C219" s="18"/>
      <c r="D219" s="18"/>
      <c r="E219" s="19"/>
      <c r="F219" s="18"/>
      <c r="G219" s="18"/>
      <c r="H219" s="18"/>
      <c r="I219" s="18"/>
      <c r="J219" s="18"/>
      <c r="K219" s="18"/>
      <c r="L219" s="18"/>
      <c r="M219" s="34"/>
    </row>
    <row r="220" spans="1:13" ht="15.75" hidden="1" customHeight="1" x14ac:dyDescent="0.25">
      <c r="A220" s="18"/>
      <c r="B220" s="18"/>
      <c r="C220" s="18"/>
      <c r="D220" s="18"/>
      <c r="E220" s="19"/>
      <c r="F220" s="18"/>
      <c r="G220" s="18"/>
      <c r="H220" s="18"/>
      <c r="I220" s="18"/>
      <c r="J220" s="18"/>
      <c r="K220" s="18"/>
      <c r="L220" s="18"/>
      <c r="M220" s="34"/>
    </row>
    <row r="221" spans="1:13" ht="15.75" hidden="1" customHeight="1" x14ac:dyDescent="0.25">
      <c r="A221" s="18"/>
      <c r="B221" s="18"/>
      <c r="C221" s="18"/>
      <c r="D221" s="18"/>
      <c r="E221" s="19"/>
      <c r="F221" s="18"/>
      <c r="G221" s="18"/>
      <c r="H221" s="18"/>
      <c r="I221" s="18"/>
      <c r="J221" s="18"/>
      <c r="K221" s="18"/>
      <c r="L221" s="18"/>
      <c r="M221" s="34"/>
    </row>
    <row r="222" spans="1:13" ht="15.75" hidden="1" customHeight="1" x14ac:dyDescent="0.25">
      <c r="A222" s="18"/>
      <c r="B222" s="18"/>
      <c r="C222" s="18"/>
      <c r="D222" s="18"/>
      <c r="E222" s="19"/>
      <c r="F222" s="18"/>
      <c r="G222" s="18"/>
      <c r="H222" s="18"/>
      <c r="I222" s="18"/>
      <c r="J222" s="18"/>
      <c r="K222" s="18"/>
      <c r="L222" s="18"/>
      <c r="M222" s="34"/>
    </row>
    <row r="223" spans="1:13" ht="15.75" hidden="1" customHeight="1" x14ac:dyDescent="0.25">
      <c r="A223" s="18"/>
      <c r="B223" s="18"/>
      <c r="C223" s="18"/>
      <c r="D223" s="18"/>
      <c r="E223" s="19"/>
      <c r="F223" s="18"/>
      <c r="G223" s="18"/>
      <c r="H223" s="18"/>
      <c r="I223" s="18"/>
      <c r="J223" s="18"/>
      <c r="K223" s="18"/>
      <c r="L223" s="18"/>
      <c r="M223" s="34"/>
    </row>
    <row r="224" spans="1:13" ht="15.75" hidden="1" customHeight="1" x14ac:dyDescent="0.25">
      <c r="A224" s="18"/>
      <c r="B224" s="18"/>
      <c r="C224" s="18"/>
      <c r="D224" s="18"/>
      <c r="E224" s="19"/>
      <c r="F224" s="18"/>
      <c r="G224" s="18"/>
      <c r="H224" s="18"/>
      <c r="I224" s="18"/>
      <c r="J224" s="18"/>
      <c r="K224" s="18"/>
      <c r="L224" s="18"/>
      <c r="M224" s="34"/>
    </row>
    <row r="225" spans="1:13" ht="15.75" hidden="1" customHeight="1" x14ac:dyDescent="0.25">
      <c r="A225" s="18"/>
      <c r="B225" s="18"/>
      <c r="C225" s="18"/>
      <c r="D225" s="18"/>
      <c r="E225" s="19"/>
      <c r="F225" s="18"/>
      <c r="G225" s="18"/>
      <c r="H225" s="18"/>
      <c r="I225" s="18"/>
      <c r="J225" s="18"/>
      <c r="K225" s="18"/>
      <c r="L225" s="18"/>
      <c r="M225" s="34"/>
    </row>
    <row r="226" spans="1:13" ht="15.75" hidden="1" customHeight="1" x14ac:dyDescent="0.25">
      <c r="A226" s="18"/>
      <c r="B226" s="18"/>
      <c r="C226" s="18"/>
      <c r="D226" s="18"/>
      <c r="E226" s="19"/>
      <c r="F226" s="18"/>
      <c r="G226" s="18"/>
      <c r="H226" s="18"/>
      <c r="I226" s="18"/>
      <c r="J226" s="18"/>
      <c r="K226" s="18"/>
      <c r="L226" s="18"/>
      <c r="M226" s="34"/>
    </row>
    <row r="227" spans="1:13" ht="15.75" hidden="1" customHeight="1" x14ac:dyDescent="0.25">
      <c r="A227" s="18"/>
      <c r="B227" s="18"/>
      <c r="C227" s="18"/>
      <c r="D227" s="18"/>
      <c r="E227" s="19"/>
      <c r="F227" s="18"/>
      <c r="G227" s="18"/>
      <c r="H227" s="18"/>
      <c r="I227" s="18"/>
      <c r="J227" s="18"/>
      <c r="K227" s="18"/>
      <c r="L227" s="18"/>
      <c r="M227" s="34"/>
    </row>
    <row r="228" spans="1:13" ht="15.75" hidden="1" customHeight="1" x14ac:dyDescent="0.25">
      <c r="A228" s="18"/>
      <c r="B228" s="18"/>
      <c r="C228" s="18"/>
      <c r="D228" s="18"/>
      <c r="E228" s="19"/>
      <c r="F228" s="18"/>
      <c r="G228" s="18"/>
      <c r="H228" s="18"/>
      <c r="I228" s="18"/>
      <c r="J228" s="18"/>
      <c r="K228" s="18"/>
      <c r="L228" s="18"/>
      <c r="M228" s="34"/>
    </row>
    <row r="229" spans="1:13" ht="15.75" hidden="1" customHeight="1" x14ac:dyDescent="0.25">
      <c r="A229" s="18"/>
      <c r="B229" s="18"/>
      <c r="C229" s="18"/>
      <c r="D229" s="18"/>
      <c r="E229" s="19"/>
      <c r="F229" s="18"/>
      <c r="G229" s="18"/>
      <c r="H229" s="18"/>
      <c r="I229" s="18"/>
      <c r="J229" s="18"/>
      <c r="K229" s="18"/>
      <c r="L229" s="18"/>
      <c r="M229" s="34"/>
    </row>
    <row r="230" spans="1:13" ht="15.75" hidden="1" customHeight="1" x14ac:dyDescent="0.25">
      <c r="A230" s="18"/>
      <c r="B230" s="18"/>
      <c r="C230" s="18"/>
      <c r="D230" s="18"/>
      <c r="E230" s="19"/>
      <c r="F230" s="18"/>
      <c r="G230" s="18"/>
      <c r="H230" s="18"/>
      <c r="I230" s="18"/>
      <c r="J230" s="18"/>
      <c r="K230" s="18"/>
      <c r="L230" s="18"/>
      <c r="M230" s="34"/>
    </row>
    <row r="231" spans="1:13" ht="15.75" hidden="1" customHeight="1" x14ac:dyDescent="0.25">
      <c r="A231" s="18"/>
      <c r="B231" s="18"/>
      <c r="C231" s="18"/>
      <c r="D231" s="18"/>
      <c r="E231" s="19"/>
      <c r="F231" s="18"/>
      <c r="G231" s="18"/>
      <c r="H231" s="18"/>
      <c r="I231" s="18"/>
      <c r="J231" s="18"/>
      <c r="K231" s="18"/>
      <c r="L231" s="18"/>
      <c r="M231" s="34"/>
    </row>
    <row r="232" spans="1:13" ht="15.75" hidden="1" customHeight="1" x14ac:dyDescent="0.25">
      <c r="A232" s="18"/>
      <c r="B232" s="18"/>
      <c r="C232" s="18"/>
      <c r="D232" s="18"/>
      <c r="E232" s="19"/>
      <c r="F232" s="18"/>
      <c r="G232" s="18"/>
      <c r="H232" s="18"/>
      <c r="I232" s="18"/>
      <c r="J232" s="18"/>
      <c r="K232" s="18"/>
      <c r="L232" s="18"/>
      <c r="M232" s="34"/>
    </row>
    <row r="233" spans="1:13" ht="15.75" hidden="1" customHeight="1" x14ac:dyDescent="0.25">
      <c r="A233" s="18"/>
      <c r="B233" s="18"/>
      <c r="C233" s="18"/>
      <c r="D233" s="18"/>
      <c r="E233" s="19"/>
      <c r="F233" s="18"/>
      <c r="G233" s="18"/>
      <c r="H233" s="18"/>
      <c r="I233" s="18"/>
      <c r="J233" s="18"/>
      <c r="K233" s="18"/>
      <c r="L233" s="18"/>
      <c r="M233" s="34"/>
    </row>
    <row r="234" spans="1:13" ht="15.75" hidden="1" customHeight="1" x14ac:dyDescent="0.25">
      <c r="A234" s="18"/>
      <c r="B234" s="18"/>
      <c r="C234" s="18"/>
      <c r="D234" s="18"/>
      <c r="E234" s="19"/>
      <c r="F234" s="18"/>
      <c r="G234" s="18"/>
      <c r="H234" s="18"/>
      <c r="I234" s="18"/>
      <c r="J234" s="18"/>
      <c r="K234" s="18"/>
      <c r="L234" s="18"/>
      <c r="M234" s="34"/>
    </row>
    <row r="235" spans="1:13" ht="15.75" hidden="1" customHeight="1" x14ac:dyDescent="0.25">
      <c r="A235" s="18"/>
      <c r="B235" s="18"/>
      <c r="C235" s="18"/>
      <c r="D235" s="18"/>
      <c r="E235" s="19"/>
      <c r="F235" s="18"/>
      <c r="G235" s="18"/>
      <c r="H235" s="18"/>
      <c r="I235" s="18"/>
      <c r="J235" s="18"/>
      <c r="K235" s="18"/>
      <c r="L235" s="18"/>
      <c r="M235" s="34"/>
    </row>
    <row r="236" spans="1:13" ht="15.75" hidden="1" customHeight="1" x14ac:dyDescent="0.25">
      <c r="A236" s="18"/>
      <c r="B236" s="18"/>
      <c r="C236" s="18"/>
      <c r="D236" s="18"/>
      <c r="E236" s="19"/>
      <c r="F236" s="18"/>
      <c r="G236" s="18"/>
      <c r="H236" s="18"/>
      <c r="I236" s="18"/>
      <c r="J236" s="18"/>
      <c r="K236" s="18"/>
      <c r="L236" s="18"/>
      <c r="M236" s="34"/>
    </row>
    <row r="237" spans="1:13" ht="15.75" hidden="1" customHeight="1" x14ac:dyDescent="0.25">
      <c r="A237" s="18"/>
      <c r="B237" s="18"/>
      <c r="C237" s="18"/>
      <c r="D237" s="18"/>
      <c r="E237" s="19"/>
      <c r="F237" s="18"/>
      <c r="G237" s="18"/>
      <c r="H237" s="18"/>
      <c r="I237" s="18"/>
      <c r="J237" s="18"/>
      <c r="K237" s="18"/>
      <c r="L237" s="18"/>
      <c r="M237" s="34"/>
    </row>
    <row r="238" spans="1:13" ht="15.75" hidden="1" customHeight="1" x14ac:dyDescent="0.25">
      <c r="A238" s="18"/>
      <c r="B238" s="18"/>
      <c r="C238" s="18"/>
      <c r="D238" s="18"/>
      <c r="E238" s="19"/>
      <c r="F238" s="18"/>
      <c r="G238" s="18"/>
      <c r="H238" s="18"/>
      <c r="I238" s="18"/>
      <c r="J238" s="18"/>
      <c r="K238" s="18"/>
      <c r="L238" s="18"/>
      <c r="M238" s="34"/>
    </row>
    <row r="239" spans="1:13" ht="15.75" hidden="1" customHeight="1" x14ac:dyDescent="0.25">
      <c r="A239" s="18"/>
      <c r="B239" s="18"/>
      <c r="C239" s="18"/>
      <c r="D239" s="18"/>
      <c r="E239" s="19"/>
      <c r="F239" s="18"/>
      <c r="G239" s="18"/>
      <c r="H239" s="18"/>
      <c r="I239" s="18"/>
      <c r="J239" s="18"/>
      <c r="K239" s="18"/>
      <c r="L239" s="18"/>
      <c r="M239" s="34"/>
    </row>
    <row r="240" spans="1:13" ht="15.75" hidden="1" customHeight="1" x14ac:dyDescent="0.25">
      <c r="A240" s="18"/>
      <c r="B240" s="18"/>
      <c r="C240" s="18"/>
      <c r="D240" s="18"/>
      <c r="E240" s="19"/>
      <c r="F240" s="18"/>
      <c r="G240" s="18"/>
      <c r="H240" s="18"/>
      <c r="I240" s="18"/>
      <c r="J240" s="18"/>
      <c r="K240" s="18"/>
      <c r="L240" s="18"/>
      <c r="M240" s="34"/>
    </row>
    <row r="241" spans="1:13" ht="15.75" hidden="1" customHeight="1" x14ac:dyDescent="0.25">
      <c r="A241" s="18"/>
      <c r="B241" s="18"/>
      <c r="C241" s="18"/>
      <c r="D241" s="18"/>
      <c r="E241" s="19"/>
      <c r="F241" s="18"/>
      <c r="G241" s="18"/>
      <c r="H241" s="18"/>
      <c r="I241" s="18"/>
      <c r="J241" s="18"/>
      <c r="K241" s="18"/>
      <c r="L241" s="18"/>
      <c r="M241" s="34"/>
    </row>
    <row r="242" spans="1:13" ht="15.75" hidden="1" customHeight="1" x14ac:dyDescent="0.25">
      <c r="A242" s="18"/>
      <c r="B242" s="18"/>
      <c r="C242" s="18"/>
      <c r="D242" s="18"/>
      <c r="E242" s="19"/>
      <c r="F242" s="18"/>
      <c r="G242" s="18"/>
      <c r="H242" s="18"/>
      <c r="I242" s="18"/>
      <c r="J242" s="18"/>
      <c r="K242" s="18"/>
      <c r="L242" s="18"/>
      <c r="M242" s="34"/>
    </row>
    <row r="243" spans="1:13" ht="15.75" hidden="1" customHeight="1" x14ac:dyDescent="0.25">
      <c r="A243" s="18"/>
      <c r="B243" s="18"/>
      <c r="C243" s="18"/>
      <c r="D243" s="18"/>
      <c r="E243" s="19"/>
      <c r="F243" s="18"/>
      <c r="G243" s="18"/>
      <c r="H243" s="18"/>
      <c r="I243" s="18"/>
      <c r="J243" s="18"/>
      <c r="K243" s="18"/>
      <c r="L243" s="18"/>
      <c r="M243" s="34"/>
    </row>
    <row r="244" spans="1:13" ht="15.75" hidden="1" customHeight="1" x14ac:dyDescent="0.25">
      <c r="A244" s="18"/>
      <c r="B244" s="18"/>
      <c r="C244" s="18"/>
      <c r="D244" s="18"/>
      <c r="E244" s="19"/>
      <c r="F244" s="18"/>
      <c r="G244" s="18"/>
      <c r="H244" s="18"/>
      <c r="I244" s="18"/>
      <c r="J244" s="18"/>
      <c r="K244" s="18"/>
      <c r="L244" s="18"/>
      <c r="M244" s="34"/>
    </row>
    <row r="245" spans="1:13" ht="15.75" hidden="1" customHeight="1" x14ac:dyDescent="0.25">
      <c r="A245" s="18"/>
      <c r="B245" s="18"/>
      <c r="C245" s="18"/>
      <c r="D245" s="18"/>
      <c r="E245" s="19"/>
      <c r="F245" s="18"/>
      <c r="G245" s="18"/>
      <c r="H245" s="18"/>
      <c r="I245" s="18"/>
      <c r="J245" s="18"/>
      <c r="K245" s="18"/>
      <c r="L245" s="18"/>
      <c r="M245" s="34"/>
    </row>
    <row r="246" spans="1:13" ht="15.75" hidden="1" customHeight="1" x14ac:dyDescent="0.25">
      <c r="A246" s="18"/>
      <c r="B246" s="18"/>
      <c r="C246" s="18"/>
      <c r="D246" s="18"/>
      <c r="E246" s="19"/>
      <c r="F246" s="18"/>
      <c r="G246" s="18"/>
      <c r="H246" s="18"/>
      <c r="I246" s="18"/>
      <c r="J246" s="18"/>
      <c r="K246" s="18"/>
      <c r="L246" s="18"/>
      <c r="M246" s="34"/>
    </row>
    <row r="247" spans="1:13" ht="15.75" hidden="1" customHeight="1" x14ac:dyDescent="0.25">
      <c r="A247" s="18"/>
      <c r="B247" s="18"/>
      <c r="C247" s="18"/>
      <c r="D247" s="18"/>
      <c r="E247" s="19"/>
      <c r="F247" s="18"/>
      <c r="G247" s="18"/>
      <c r="H247" s="18"/>
      <c r="I247" s="18"/>
      <c r="J247" s="18"/>
      <c r="K247" s="18"/>
      <c r="L247" s="18"/>
      <c r="M247" s="34"/>
    </row>
    <row r="248" spans="1:13" ht="15.75" hidden="1" customHeight="1" x14ac:dyDescent="0.25">
      <c r="A248" s="18"/>
      <c r="B248" s="18"/>
      <c r="C248" s="18"/>
      <c r="D248" s="18"/>
      <c r="E248" s="19"/>
      <c r="F248" s="18"/>
      <c r="G248" s="18"/>
      <c r="H248" s="18"/>
      <c r="I248" s="18"/>
      <c r="J248" s="18"/>
      <c r="K248" s="18"/>
      <c r="L248" s="18"/>
      <c r="M248" s="34"/>
    </row>
    <row r="249" spans="1:13" ht="15.75" hidden="1" customHeight="1" x14ac:dyDescent="0.25">
      <c r="A249" s="18"/>
      <c r="B249" s="18"/>
      <c r="C249" s="18"/>
      <c r="D249" s="18"/>
      <c r="E249" s="19"/>
      <c r="F249" s="18"/>
      <c r="G249" s="18"/>
      <c r="H249" s="18"/>
      <c r="I249" s="18"/>
      <c r="J249" s="18"/>
      <c r="K249" s="18"/>
      <c r="L249" s="18"/>
      <c r="M249" s="34"/>
    </row>
    <row r="250" spans="1:13" ht="15.75" hidden="1" customHeight="1" x14ac:dyDescent="0.25">
      <c r="A250" s="18"/>
      <c r="B250" s="18"/>
      <c r="C250" s="18"/>
      <c r="D250" s="18"/>
      <c r="E250" s="19"/>
      <c r="F250" s="18"/>
      <c r="G250" s="18"/>
      <c r="H250" s="18"/>
      <c r="I250" s="18"/>
      <c r="J250" s="18"/>
      <c r="K250" s="18"/>
      <c r="L250" s="18"/>
      <c r="M250" s="34"/>
    </row>
    <row r="251" spans="1:13" ht="15.75" hidden="1" customHeight="1" x14ac:dyDescent="0.25">
      <c r="A251" s="18"/>
      <c r="B251" s="18"/>
      <c r="C251" s="18"/>
      <c r="D251" s="18"/>
      <c r="E251" s="19"/>
      <c r="F251" s="18"/>
      <c r="G251" s="18"/>
      <c r="H251" s="18"/>
      <c r="I251" s="18"/>
      <c r="J251" s="18"/>
      <c r="K251" s="18"/>
      <c r="L251" s="18"/>
      <c r="M251" s="34"/>
    </row>
    <row r="252" spans="1:13" ht="15.75" hidden="1" customHeight="1" x14ac:dyDescent="0.25">
      <c r="A252" s="18"/>
      <c r="B252" s="18"/>
      <c r="C252" s="18"/>
      <c r="D252" s="18"/>
      <c r="E252" s="19"/>
      <c r="F252" s="18"/>
      <c r="G252" s="18"/>
      <c r="H252" s="18"/>
      <c r="I252" s="18"/>
      <c r="J252" s="18"/>
      <c r="K252" s="18"/>
      <c r="L252" s="18"/>
      <c r="M252" s="34"/>
    </row>
    <row r="253" spans="1:13" ht="15.75" hidden="1" customHeight="1" x14ac:dyDescent="0.25">
      <c r="A253" s="18"/>
      <c r="B253" s="18"/>
      <c r="C253" s="18"/>
      <c r="D253" s="18"/>
      <c r="E253" s="19"/>
      <c r="F253" s="18"/>
      <c r="G253" s="18"/>
      <c r="H253" s="18"/>
      <c r="I253" s="18"/>
      <c r="J253" s="18"/>
      <c r="K253" s="18"/>
      <c r="L253" s="18"/>
      <c r="M253" s="34"/>
    </row>
    <row r="254" spans="1:13" ht="15.75" hidden="1" customHeight="1" x14ac:dyDescent="0.25">
      <c r="A254" s="18"/>
      <c r="B254" s="18"/>
      <c r="C254" s="18"/>
      <c r="D254" s="18"/>
      <c r="E254" s="19"/>
      <c r="F254" s="18"/>
      <c r="G254" s="18"/>
      <c r="H254" s="18"/>
      <c r="I254" s="18"/>
      <c r="J254" s="18"/>
      <c r="K254" s="18"/>
      <c r="L254" s="18"/>
      <c r="M254" s="34"/>
    </row>
    <row r="255" spans="1:13" ht="15.75" hidden="1" customHeight="1" x14ac:dyDescent="0.25">
      <c r="A255" s="18"/>
      <c r="B255" s="18"/>
      <c r="C255" s="18"/>
      <c r="D255" s="18"/>
      <c r="E255" s="19"/>
      <c r="F255" s="18"/>
      <c r="G255" s="18"/>
      <c r="H255" s="18"/>
      <c r="I255" s="18"/>
      <c r="J255" s="18"/>
      <c r="K255" s="18"/>
      <c r="L255" s="18"/>
      <c r="M255" s="34"/>
    </row>
    <row r="256" spans="1:13" ht="15.75" hidden="1" customHeight="1" x14ac:dyDescent="0.25">
      <c r="A256" s="18"/>
      <c r="B256" s="18"/>
      <c r="C256" s="18"/>
      <c r="D256" s="18"/>
      <c r="E256" s="19"/>
      <c r="F256" s="18"/>
      <c r="G256" s="18"/>
      <c r="H256" s="18"/>
      <c r="I256" s="18"/>
      <c r="J256" s="18"/>
      <c r="K256" s="18"/>
      <c r="L256" s="18"/>
      <c r="M256" s="34"/>
    </row>
    <row r="257" spans="1:13" ht="15.75" hidden="1" customHeight="1" x14ac:dyDescent="0.25">
      <c r="A257" s="18"/>
      <c r="B257" s="18"/>
      <c r="C257" s="18"/>
      <c r="D257" s="18"/>
      <c r="E257" s="19"/>
      <c r="F257" s="18"/>
      <c r="G257" s="18"/>
      <c r="H257" s="18"/>
      <c r="I257" s="18"/>
      <c r="J257" s="18"/>
      <c r="K257" s="18"/>
      <c r="L257" s="18"/>
      <c r="M257" s="34"/>
    </row>
    <row r="258" spans="1:13" ht="15.75" hidden="1" customHeight="1" x14ac:dyDescent="0.25">
      <c r="A258" s="18"/>
      <c r="B258" s="18"/>
      <c r="C258" s="18"/>
      <c r="D258" s="18"/>
      <c r="E258" s="19"/>
      <c r="F258" s="18"/>
      <c r="G258" s="18"/>
      <c r="H258" s="18"/>
      <c r="I258" s="18"/>
      <c r="J258" s="18"/>
      <c r="K258" s="18"/>
      <c r="L258" s="18"/>
      <c r="M258" s="34"/>
    </row>
    <row r="259" spans="1:13" ht="15.75" hidden="1" customHeight="1" x14ac:dyDescent="0.25">
      <c r="A259" s="18"/>
      <c r="B259" s="18"/>
      <c r="C259" s="18"/>
      <c r="D259" s="18"/>
      <c r="E259" s="19"/>
      <c r="F259" s="18"/>
      <c r="G259" s="18"/>
      <c r="H259" s="18"/>
      <c r="I259" s="18"/>
      <c r="J259" s="18"/>
      <c r="K259" s="18"/>
      <c r="L259" s="18"/>
      <c r="M259" s="34"/>
    </row>
    <row r="260" spans="1:13" ht="15.75" hidden="1" customHeight="1" x14ac:dyDescent="0.25">
      <c r="A260" s="18"/>
      <c r="B260" s="18"/>
      <c r="C260" s="18"/>
      <c r="D260" s="18"/>
      <c r="E260" s="19"/>
      <c r="F260" s="18"/>
      <c r="G260" s="18"/>
      <c r="H260" s="18"/>
      <c r="I260" s="18"/>
      <c r="J260" s="18"/>
      <c r="K260" s="18"/>
      <c r="L260" s="18"/>
      <c r="M260" s="34"/>
    </row>
    <row r="261" spans="1:13" ht="15.75" hidden="1" customHeight="1" x14ac:dyDescent="0.25">
      <c r="A261" s="18"/>
      <c r="B261" s="18"/>
      <c r="C261" s="18"/>
      <c r="D261" s="18"/>
      <c r="E261" s="19"/>
      <c r="F261" s="18"/>
      <c r="G261" s="18"/>
      <c r="H261" s="18"/>
      <c r="I261" s="18"/>
      <c r="J261" s="18"/>
      <c r="K261" s="18"/>
      <c r="L261" s="18"/>
      <c r="M261" s="34"/>
    </row>
    <row r="262" spans="1:13" ht="15.75" hidden="1" customHeight="1" x14ac:dyDescent="0.25">
      <c r="A262" s="18"/>
      <c r="B262" s="18"/>
      <c r="C262" s="18"/>
      <c r="D262" s="18"/>
      <c r="E262" s="19"/>
      <c r="F262" s="18"/>
      <c r="G262" s="18"/>
      <c r="H262" s="18"/>
      <c r="I262" s="18"/>
      <c r="J262" s="18"/>
      <c r="K262" s="18"/>
      <c r="L262" s="18"/>
      <c r="M262" s="34"/>
    </row>
    <row r="263" spans="1:13" ht="15.75" hidden="1" customHeight="1" x14ac:dyDescent="0.25">
      <c r="A263" s="18"/>
      <c r="B263" s="18"/>
      <c r="C263" s="18"/>
      <c r="D263" s="18"/>
      <c r="E263" s="19"/>
      <c r="F263" s="18"/>
      <c r="G263" s="18"/>
      <c r="H263" s="18"/>
      <c r="I263" s="18"/>
      <c r="J263" s="18"/>
      <c r="K263" s="18"/>
      <c r="L263" s="18"/>
      <c r="M263" s="34"/>
    </row>
    <row r="264" spans="1:13" ht="15.75" hidden="1" customHeight="1" x14ac:dyDescent="0.25">
      <c r="A264" s="18"/>
      <c r="B264" s="18"/>
      <c r="C264" s="18"/>
      <c r="D264" s="18"/>
      <c r="E264" s="19"/>
      <c r="F264" s="18"/>
      <c r="G264" s="18"/>
      <c r="H264" s="18"/>
      <c r="I264" s="18"/>
      <c r="J264" s="18"/>
      <c r="K264" s="18"/>
      <c r="L264" s="18"/>
      <c r="M264" s="34"/>
    </row>
    <row r="265" spans="1:13" ht="15.75" hidden="1" customHeight="1" x14ac:dyDescent="0.25">
      <c r="A265" s="18"/>
      <c r="B265" s="18"/>
      <c r="C265" s="18"/>
      <c r="D265" s="18"/>
      <c r="E265" s="19"/>
      <c r="F265" s="18"/>
      <c r="G265" s="18"/>
      <c r="H265" s="18"/>
      <c r="I265" s="18"/>
      <c r="J265" s="18"/>
      <c r="K265" s="18"/>
      <c r="L265" s="18"/>
      <c r="M265" s="34"/>
    </row>
    <row r="266" spans="1:13" ht="15.75" hidden="1" customHeight="1" x14ac:dyDescent="0.25">
      <c r="A266" s="18"/>
      <c r="B266" s="18"/>
      <c r="C266" s="18"/>
      <c r="D266" s="18"/>
      <c r="E266" s="19"/>
      <c r="F266" s="18"/>
      <c r="G266" s="18"/>
      <c r="H266" s="18"/>
      <c r="I266" s="18"/>
      <c r="J266" s="18"/>
      <c r="K266" s="18"/>
      <c r="L266" s="18"/>
      <c r="M266" s="34"/>
    </row>
    <row r="267" spans="1:13" ht="15.75" hidden="1" customHeight="1" x14ac:dyDescent="0.25">
      <c r="A267" s="18"/>
      <c r="B267" s="18"/>
      <c r="C267" s="18"/>
      <c r="D267" s="18"/>
      <c r="E267" s="19"/>
      <c r="F267" s="18"/>
      <c r="G267" s="18"/>
      <c r="H267" s="18"/>
      <c r="I267" s="18"/>
      <c r="J267" s="18"/>
      <c r="K267" s="18"/>
      <c r="L267" s="18"/>
      <c r="M267" s="34"/>
    </row>
    <row r="268" spans="1:13" ht="15.75" hidden="1" customHeight="1" x14ac:dyDescent="0.25">
      <c r="A268" s="18"/>
      <c r="B268" s="18"/>
      <c r="C268" s="18"/>
      <c r="D268" s="18"/>
      <c r="E268" s="19"/>
      <c r="F268" s="18"/>
      <c r="G268" s="18"/>
      <c r="H268" s="18"/>
      <c r="I268" s="18"/>
      <c r="J268" s="18"/>
      <c r="K268" s="18"/>
      <c r="L268" s="18"/>
      <c r="M268" s="34"/>
    </row>
    <row r="269" spans="1:13" ht="15.75" hidden="1" customHeight="1" x14ac:dyDescent="0.25">
      <c r="A269" s="18"/>
      <c r="B269" s="18"/>
      <c r="C269" s="18"/>
      <c r="D269" s="18"/>
      <c r="E269" s="19"/>
      <c r="F269" s="18"/>
      <c r="G269" s="18"/>
      <c r="H269" s="18"/>
      <c r="I269" s="18"/>
      <c r="J269" s="18"/>
      <c r="K269" s="18"/>
      <c r="L269" s="18"/>
      <c r="M269" s="34"/>
    </row>
    <row r="270" spans="1:13" ht="15.75" hidden="1" customHeight="1" x14ac:dyDescent="0.25">
      <c r="A270" s="18"/>
      <c r="B270" s="18"/>
      <c r="C270" s="18"/>
      <c r="D270" s="18"/>
      <c r="E270" s="19"/>
      <c r="F270" s="18"/>
      <c r="G270" s="18"/>
      <c r="H270" s="18"/>
      <c r="I270" s="18"/>
      <c r="J270" s="18"/>
      <c r="K270" s="18"/>
      <c r="L270" s="18"/>
      <c r="M270" s="34"/>
    </row>
    <row r="271" spans="1:13" ht="15.75" hidden="1" customHeight="1" x14ac:dyDescent="0.25">
      <c r="A271" s="18"/>
      <c r="B271" s="18"/>
      <c r="C271" s="18"/>
      <c r="D271" s="18"/>
      <c r="E271" s="19"/>
      <c r="F271" s="18"/>
      <c r="G271" s="18"/>
      <c r="H271" s="18"/>
      <c r="I271" s="18"/>
      <c r="J271" s="18"/>
      <c r="K271" s="18"/>
      <c r="L271" s="18"/>
      <c r="M271" s="34"/>
    </row>
    <row r="272" spans="1:13" ht="15.75" hidden="1" customHeight="1" x14ac:dyDescent="0.25">
      <c r="A272" s="18"/>
      <c r="B272" s="18"/>
      <c r="C272" s="18"/>
      <c r="D272" s="18"/>
      <c r="E272" s="19"/>
      <c r="F272" s="18"/>
      <c r="G272" s="18"/>
      <c r="H272" s="18"/>
      <c r="I272" s="18"/>
      <c r="J272" s="18"/>
      <c r="K272" s="18"/>
      <c r="L272" s="18"/>
      <c r="M272" s="34"/>
    </row>
    <row r="273" spans="1:13" ht="15.75" hidden="1" customHeight="1" x14ac:dyDescent="0.25">
      <c r="A273" s="18"/>
      <c r="B273" s="18"/>
      <c r="C273" s="18"/>
      <c r="D273" s="18"/>
      <c r="E273" s="19"/>
      <c r="F273" s="18"/>
      <c r="G273" s="18"/>
      <c r="H273" s="18"/>
      <c r="I273" s="18"/>
      <c r="J273" s="18"/>
      <c r="K273" s="18"/>
      <c r="L273" s="18"/>
      <c r="M273" s="34"/>
    </row>
    <row r="274" spans="1:13" ht="15.75" hidden="1" customHeight="1" x14ac:dyDescent="0.25">
      <c r="A274" s="18"/>
      <c r="B274" s="18"/>
      <c r="C274" s="18"/>
      <c r="D274" s="18"/>
      <c r="E274" s="19"/>
      <c r="F274" s="18"/>
      <c r="G274" s="18"/>
      <c r="H274" s="18"/>
      <c r="I274" s="18"/>
      <c r="J274" s="18"/>
      <c r="K274" s="18"/>
      <c r="L274" s="18"/>
      <c r="M274" s="34"/>
    </row>
    <row r="275" spans="1:13" ht="15.75" hidden="1" customHeight="1" x14ac:dyDescent="0.25">
      <c r="A275" s="18"/>
      <c r="B275" s="18"/>
      <c r="C275" s="18"/>
      <c r="D275" s="18"/>
      <c r="E275" s="19"/>
      <c r="F275" s="18"/>
      <c r="G275" s="18"/>
      <c r="H275" s="18"/>
      <c r="I275" s="18"/>
      <c r="J275" s="18"/>
      <c r="K275" s="18"/>
      <c r="L275" s="18"/>
      <c r="M275" s="34"/>
    </row>
    <row r="276" spans="1:13" ht="15.75" hidden="1" customHeight="1" x14ac:dyDescent="0.25">
      <c r="A276" s="18"/>
      <c r="B276" s="18"/>
      <c r="C276" s="18"/>
      <c r="D276" s="18"/>
      <c r="E276" s="19"/>
      <c r="F276" s="18"/>
      <c r="G276" s="18"/>
      <c r="H276" s="18"/>
      <c r="I276" s="18"/>
      <c r="J276" s="18"/>
      <c r="K276" s="18"/>
      <c r="L276" s="18"/>
      <c r="M276" s="34"/>
    </row>
    <row r="277" spans="1:13" ht="15.75" hidden="1" customHeight="1" x14ac:dyDescent="0.25">
      <c r="A277" s="18"/>
      <c r="B277" s="18"/>
      <c r="C277" s="18"/>
      <c r="D277" s="18"/>
      <c r="E277" s="19"/>
      <c r="F277" s="18"/>
      <c r="G277" s="18"/>
      <c r="H277" s="18"/>
      <c r="I277" s="18"/>
      <c r="J277" s="18"/>
      <c r="K277" s="18"/>
      <c r="L277" s="18"/>
      <c r="M277" s="34"/>
    </row>
    <row r="278" spans="1:13" ht="15.75" hidden="1" customHeight="1" x14ac:dyDescent="0.25">
      <c r="A278" s="18"/>
      <c r="B278" s="18"/>
      <c r="C278" s="18"/>
      <c r="D278" s="18"/>
      <c r="E278" s="19"/>
      <c r="F278" s="18"/>
      <c r="G278" s="18"/>
      <c r="H278" s="18"/>
      <c r="I278" s="18"/>
      <c r="J278" s="18"/>
      <c r="K278" s="18"/>
      <c r="L278" s="18"/>
      <c r="M278" s="34"/>
    </row>
    <row r="279" spans="1:13" ht="15.75" hidden="1" customHeight="1" x14ac:dyDescent="0.25">
      <c r="A279" s="18"/>
      <c r="B279" s="18"/>
      <c r="C279" s="18"/>
      <c r="D279" s="18"/>
      <c r="E279" s="19"/>
      <c r="F279" s="18"/>
      <c r="G279" s="18"/>
      <c r="H279" s="18"/>
      <c r="I279" s="18"/>
      <c r="J279" s="18"/>
      <c r="K279" s="18"/>
      <c r="L279" s="18"/>
      <c r="M279" s="34"/>
    </row>
    <row r="280" spans="1:13" ht="15.75" hidden="1" customHeight="1" x14ac:dyDescent="0.25">
      <c r="A280" s="18"/>
      <c r="B280" s="18"/>
      <c r="C280" s="18"/>
      <c r="D280" s="18"/>
      <c r="E280" s="19"/>
      <c r="F280" s="18"/>
      <c r="G280" s="18"/>
      <c r="H280" s="18"/>
      <c r="I280" s="18"/>
      <c r="J280" s="18"/>
      <c r="K280" s="18"/>
      <c r="L280" s="18"/>
      <c r="M280" s="34"/>
    </row>
    <row r="281" spans="1:13" ht="15.75" hidden="1" customHeight="1" x14ac:dyDescent="0.25">
      <c r="A281" s="18"/>
      <c r="B281" s="18"/>
      <c r="C281" s="18"/>
      <c r="D281" s="18"/>
      <c r="E281" s="19"/>
      <c r="F281" s="18"/>
      <c r="G281" s="18"/>
      <c r="H281" s="18"/>
      <c r="I281" s="18"/>
      <c r="J281" s="18"/>
      <c r="K281" s="18"/>
      <c r="L281" s="18"/>
      <c r="M281" s="34"/>
    </row>
    <row r="282" spans="1:13" ht="15.75" hidden="1" customHeight="1" x14ac:dyDescent="0.25">
      <c r="A282" s="18"/>
      <c r="B282" s="18"/>
      <c r="C282" s="18"/>
      <c r="D282" s="18"/>
      <c r="E282" s="19"/>
      <c r="F282" s="18"/>
      <c r="G282" s="18"/>
      <c r="H282" s="18"/>
      <c r="I282" s="18"/>
      <c r="J282" s="18"/>
      <c r="K282" s="18"/>
      <c r="L282" s="18"/>
      <c r="M282" s="34"/>
    </row>
    <row r="283" spans="1:13" ht="15.75" hidden="1" customHeight="1" x14ac:dyDescent="0.25">
      <c r="A283" s="18"/>
      <c r="B283" s="18"/>
      <c r="C283" s="18"/>
      <c r="D283" s="18"/>
      <c r="E283" s="19"/>
      <c r="F283" s="18"/>
      <c r="G283" s="18"/>
      <c r="H283" s="18"/>
      <c r="I283" s="18"/>
      <c r="J283" s="18"/>
      <c r="K283" s="18"/>
      <c r="L283" s="18"/>
      <c r="M283" s="34"/>
    </row>
    <row r="284" spans="1:13" ht="15.75" hidden="1" customHeight="1" x14ac:dyDescent="0.25">
      <c r="A284" s="18"/>
      <c r="B284" s="18"/>
      <c r="C284" s="18"/>
      <c r="D284" s="18"/>
      <c r="E284" s="19"/>
      <c r="F284" s="18"/>
      <c r="G284" s="18"/>
      <c r="H284" s="18"/>
      <c r="I284" s="18"/>
      <c r="J284" s="18"/>
      <c r="K284" s="18"/>
      <c r="L284" s="18"/>
      <c r="M284" s="34"/>
    </row>
    <row r="285" spans="1:13" ht="15.75" hidden="1" customHeight="1" x14ac:dyDescent="0.25">
      <c r="A285" s="18"/>
      <c r="B285" s="18"/>
      <c r="C285" s="18"/>
      <c r="D285" s="18"/>
      <c r="E285" s="19"/>
      <c r="F285" s="18"/>
      <c r="G285" s="18"/>
      <c r="H285" s="18"/>
      <c r="I285" s="18"/>
      <c r="J285" s="18"/>
      <c r="K285" s="18"/>
      <c r="L285" s="18"/>
      <c r="M285" s="34"/>
    </row>
    <row r="286" spans="1:13" ht="15.75" hidden="1" customHeight="1" x14ac:dyDescent="0.25">
      <c r="A286" s="18"/>
      <c r="B286" s="18"/>
      <c r="C286" s="18"/>
      <c r="D286" s="18"/>
      <c r="E286" s="19"/>
      <c r="F286" s="18"/>
      <c r="G286" s="18"/>
      <c r="H286" s="18"/>
      <c r="I286" s="18"/>
      <c r="J286" s="18"/>
      <c r="K286" s="18"/>
      <c r="L286" s="18"/>
      <c r="M286" s="34"/>
    </row>
    <row r="287" spans="1:13" ht="15.75" hidden="1" customHeight="1" x14ac:dyDescent="0.25">
      <c r="A287" s="18"/>
      <c r="B287" s="18"/>
      <c r="C287" s="18"/>
      <c r="D287" s="18"/>
      <c r="E287" s="19"/>
      <c r="F287" s="18"/>
      <c r="G287" s="18"/>
      <c r="H287" s="18"/>
      <c r="I287" s="18"/>
      <c r="J287" s="18"/>
      <c r="K287" s="18"/>
      <c r="L287" s="18"/>
      <c r="M287" s="34"/>
    </row>
    <row r="288" spans="1:13" ht="15.75" hidden="1" customHeight="1" x14ac:dyDescent="0.25">
      <c r="A288" s="18"/>
      <c r="B288" s="18"/>
      <c r="C288" s="18"/>
      <c r="D288" s="18"/>
      <c r="E288" s="19"/>
      <c r="F288" s="18"/>
      <c r="G288" s="18"/>
      <c r="H288" s="18"/>
      <c r="I288" s="18"/>
      <c r="J288" s="18"/>
      <c r="K288" s="18"/>
      <c r="L288" s="18"/>
      <c r="M288" s="34"/>
    </row>
    <row r="289" spans="1:13" ht="15.75" hidden="1" customHeight="1" x14ac:dyDescent="0.25">
      <c r="A289" s="18"/>
      <c r="B289" s="18"/>
      <c r="C289" s="18"/>
      <c r="D289" s="18"/>
      <c r="E289" s="19"/>
      <c r="F289" s="18"/>
      <c r="G289" s="18"/>
      <c r="H289" s="18"/>
      <c r="I289" s="18"/>
      <c r="J289" s="18"/>
      <c r="K289" s="18"/>
      <c r="L289" s="18"/>
      <c r="M289" s="34"/>
    </row>
    <row r="290" spans="1:13" ht="15.75" hidden="1" customHeight="1" x14ac:dyDescent="0.25">
      <c r="A290" s="18"/>
      <c r="B290" s="18"/>
      <c r="C290" s="18"/>
      <c r="D290" s="18"/>
      <c r="E290" s="19"/>
      <c r="F290" s="18"/>
      <c r="G290" s="18"/>
      <c r="H290" s="18"/>
      <c r="I290" s="18"/>
      <c r="J290" s="18"/>
      <c r="K290" s="18"/>
      <c r="L290" s="18"/>
      <c r="M290" s="34"/>
    </row>
    <row r="291" spans="1:13" ht="15.75" hidden="1" customHeight="1" x14ac:dyDescent="0.25">
      <c r="A291" s="18"/>
      <c r="B291" s="18"/>
      <c r="C291" s="18"/>
      <c r="D291" s="18"/>
      <c r="E291" s="19"/>
      <c r="F291" s="18"/>
      <c r="G291" s="18"/>
      <c r="H291" s="18"/>
      <c r="I291" s="18"/>
      <c r="J291" s="18"/>
      <c r="K291" s="18"/>
      <c r="L291" s="18"/>
      <c r="M291" s="34"/>
    </row>
    <row r="292" spans="1:13" ht="15.75" hidden="1" customHeight="1" x14ac:dyDescent="0.25">
      <c r="A292" s="18"/>
      <c r="B292" s="18"/>
      <c r="C292" s="18"/>
      <c r="D292" s="18"/>
      <c r="E292" s="19"/>
      <c r="F292" s="18"/>
      <c r="G292" s="18"/>
      <c r="H292" s="18"/>
      <c r="I292" s="18"/>
      <c r="J292" s="18"/>
      <c r="K292" s="18"/>
      <c r="L292" s="18"/>
      <c r="M292" s="34"/>
    </row>
    <row r="293" spans="1:13" ht="15.75" hidden="1" customHeight="1" x14ac:dyDescent="0.25">
      <c r="A293" s="18"/>
      <c r="B293" s="18"/>
      <c r="C293" s="18"/>
      <c r="D293" s="18"/>
      <c r="E293" s="19"/>
      <c r="F293" s="18"/>
      <c r="G293" s="18"/>
      <c r="H293" s="18"/>
      <c r="I293" s="18"/>
      <c r="J293" s="18"/>
      <c r="K293" s="18"/>
      <c r="L293" s="18"/>
      <c r="M293" s="34"/>
    </row>
    <row r="294" spans="1:13" ht="15.75" hidden="1" customHeight="1" x14ac:dyDescent="0.25">
      <c r="A294" s="18"/>
      <c r="B294" s="18"/>
      <c r="C294" s="18"/>
      <c r="D294" s="18"/>
      <c r="E294" s="19"/>
      <c r="F294" s="18"/>
      <c r="G294" s="18"/>
      <c r="H294" s="18"/>
      <c r="I294" s="18"/>
      <c r="J294" s="18"/>
      <c r="K294" s="18"/>
      <c r="L294" s="18"/>
      <c r="M294" s="34"/>
    </row>
    <row r="295" spans="1:13" ht="15.75" hidden="1" customHeight="1" x14ac:dyDescent="0.25">
      <c r="A295" s="18"/>
      <c r="B295" s="18"/>
      <c r="C295" s="18"/>
      <c r="D295" s="18"/>
      <c r="E295" s="19"/>
      <c r="F295" s="18"/>
      <c r="G295" s="18"/>
      <c r="H295" s="18"/>
      <c r="I295" s="18"/>
      <c r="J295" s="18"/>
      <c r="K295" s="18"/>
      <c r="L295" s="18"/>
      <c r="M295" s="34"/>
    </row>
    <row r="296" spans="1:13" ht="15.75" hidden="1" customHeight="1" x14ac:dyDescent="0.25">
      <c r="A296" s="18"/>
      <c r="B296" s="18"/>
      <c r="C296" s="18"/>
      <c r="D296" s="18"/>
      <c r="E296" s="19"/>
      <c r="F296" s="18"/>
      <c r="G296" s="18"/>
      <c r="H296" s="18"/>
      <c r="I296" s="18"/>
      <c r="J296" s="18"/>
      <c r="K296" s="18"/>
      <c r="L296" s="18"/>
      <c r="M296" s="34"/>
    </row>
    <row r="297" spans="1:13" ht="15.75" hidden="1" customHeight="1" x14ac:dyDescent="0.25">
      <c r="A297" s="18"/>
      <c r="B297" s="18"/>
      <c r="C297" s="18"/>
      <c r="D297" s="18"/>
      <c r="E297" s="19"/>
      <c r="F297" s="18"/>
      <c r="G297" s="18"/>
      <c r="H297" s="18"/>
      <c r="I297" s="18"/>
      <c r="J297" s="18"/>
      <c r="K297" s="18"/>
      <c r="L297" s="18"/>
      <c r="M297" s="34"/>
    </row>
    <row r="298" spans="1:13" ht="15.75" hidden="1" customHeight="1" x14ac:dyDescent="0.25">
      <c r="A298" s="18"/>
      <c r="B298" s="18"/>
      <c r="C298" s="18"/>
      <c r="D298" s="18"/>
      <c r="E298" s="19"/>
      <c r="F298" s="18"/>
      <c r="G298" s="18"/>
      <c r="H298" s="18"/>
      <c r="I298" s="18"/>
      <c r="J298" s="18"/>
      <c r="K298" s="18"/>
      <c r="L298" s="18"/>
      <c r="M298" s="34"/>
    </row>
    <row r="299" spans="1:13" ht="15.75" hidden="1" customHeight="1" x14ac:dyDescent="0.25">
      <c r="A299" s="18"/>
      <c r="B299" s="18"/>
      <c r="C299" s="18"/>
      <c r="D299" s="18"/>
      <c r="E299" s="19"/>
      <c r="F299" s="18"/>
      <c r="G299" s="18"/>
      <c r="H299" s="18"/>
      <c r="I299" s="18"/>
      <c r="J299" s="18"/>
      <c r="K299" s="18"/>
      <c r="L299" s="18"/>
      <c r="M299" s="34"/>
    </row>
    <row r="300" spans="1:13" ht="15.75" hidden="1" customHeight="1" x14ac:dyDescent="0.25">
      <c r="A300" s="18"/>
      <c r="B300" s="18"/>
      <c r="C300" s="18"/>
      <c r="D300" s="18"/>
      <c r="E300" s="19"/>
      <c r="F300" s="18"/>
      <c r="G300" s="18"/>
      <c r="H300" s="18"/>
      <c r="I300" s="18"/>
      <c r="J300" s="18"/>
      <c r="K300" s="18"/>
      <c r="L300" s="18"/>
      <c r="M300" s="34"/>
    </row>
    <row r="301" spans="1:13" ht="15.75" hidden="1" customHeight="1" x14ac:dyDescent="0.25">
      <c r="A301" s="18"/>
      <c r="B301" s="18"/>
      <c r="C301" s="18"/>
      <c r="D301" s="18"/>
      <c r="E301" s="19"/>
      <c r="F301" s="18"/>
      <c r="G301" s="18"/>
      <c r="H301" s="18"/>
      <c r="I301" s="18"/>
      <c r="J301" s="18"/>
      <c r="K301" s="18"/>
      <c r="L301" s="18"/>
      <c r="M301" s="34"/>
    </row>
    <row r="302" spans="1:13" ht="15.75" hidden="1" customHeight="1" x14ac:dyDescent="0.25">
      <c r="A302" s="18"/>
      <c r="B302" s="18"/>
      <c r="C302" s="18"/>
      <c r="D302" s="18"/>
      <c r="E302" s="19"/>
      <c r="F302" s="18"/>
      <c r="G302" s="18"/>
      <c r="H302" s="18"/>
      <c r="I302" s="18"/>
      <c r="J302" s="18"/>
      <c r="K302" s="18"/>
      <c r="L302" s="18"/>
      <c r="M302" s="34"/>
    </row>
    <row r="303" spans="1:13" ht="15.75" hidden="1" customHeight="1" x14ac:dyDescent="0.25">
      <c r="A303" s="18"/>
      <c r="B303" s="18"/>
      <c r="C303" s="18"/>
      <c r="D303" s="18"/>
      <c r="E303" s="19"/>
      <c r="F303" s="18"/>
      <c r="G303" s="18"/>
      <c r="H303" s="18"/>
      <c r="I303" s="18"/>
      <c r="J303" s="18"/>
      <c r="K303" s="18"/>
      <c r="L303" s="18"/>
      <c r="M303" s="34"/>
    </row>
    <row r="304" spans="1:13" ht="15.75" hidden="1" customHeight="1" x14ac:dyDescent="0.25">
      <c r="A304" s="18"/>
      <c r="B304" s="18"/>
      <c r="C304" s="18"/>
      <c r="D304" s="18"/>
      <c r="E304" s="19"/>
      <c r="F304" s="18"/>
      <c r="G304" s="18"/>
      <c r="H304" s="18"/>
      <c r="I304" s="18"/>
      <c r="J304" s="18"/>
      <c r="K304" s="18"/>
      <c r="L304" s="18"/>
      <c r="M304" s="34"/>
    </row>
    <row r="305" spans="1:13" ht="15.75" hidden="1" customHeight="1" x14ac:dyDescent="0.25">
      <c r="A305" s="18"/>
      <c r="B305" s="18"/>
      <c r="C305" s="18"/>
      <c r="D305" s="18"/>
      <c r="E305" s="19"/>
      <c r="F305" s="18"/>
      <c r="G305" s="18"/>
      <c r="H305" s="18"/>
      <c r="I305" s="18"/>
      <c r="J305" s="18"/>
      <c r="K305" s="18"/>
      <c r="L305" s="18"/>
      <c r="M305" s="34"/>
    </row>
    <row r="306" spans="1:13" ht="15.75" hidden="1" customHeight="1" x14ac:dyDescent="0.25">
      <c r="A306" s="18"/>
      <c r="B306" s="18"/>
      <c r="C306" s="18"/>
      <c r="D306" s="18"/>
      <c r="E306" s="19"/>
      <c r="F306" s="18"/>
      <c r="G306" s="18"/>
      <c r="H306" s="18"/>
      <c r="I306" s="18"/>
      <c r="J306" s="18"/>
      <c r="K306" s="18"/>
      <c r="L306" s="18"/>
      <c r="M306" s="34"/>
    </row>
    <row r="307" spans="1:13" ht="15.75" hidden="1" customHeight="1" x14ac:dyDescent="0.25">
      <c r="A307" s="18"/>
      <c r="B307" s="18"/>
      <c r="C307" s="18"/>
      <c r="D307" s="18"/>
      <c r="E307" s="19"/>
      <c r="F307" s="18"/>
      <c r="G307" s="18"/>
      <c r="H307" s="18"/>
      <c r="I307" s="18"/>
      <c r="J307" s="18"/>
      <c r="K307" s="18"/>
      <c r="L307" s="18"/>
      <c r="M307" s="34"/>
    </row>
    <row r="308" spans="1:13" ht="15.75" hidden="1" customHeight="1" x14ac:dyDescent="0.25">
      <c r="A308" s="18"/>
      <c r="B308" s="18"/>
      <c r="C308" s="18"/>
      <c r="D308" s="18"/>
      <c r="E308" s="19"/>
      <c r="F308" s="18"/>
      <c r="G308" s="18"/>
      <c r="H308" s="18"/>
      <c r="I308" s="18"/>
      <c r="J308" s="18"/>
      <c r="K308" s="18"/>
      <c r="L308" s="18"/>
      <c r="M308" s="34"/>
    </row>
    <row r="309" spans="1:13" ht="15.75" hidden="1" customHeight="1" x14ac:dyDescent="0.25">
      <c r="A309" s="18"/>
      <c r="B309" s="18"/>
      <c r="C309" s="18"/>
      <c r="D309" s="18"/>
      <c r="E309" s="19"/>
      <c r="F309" s="18"/>
      <c r="G309" s="18"/>
      <c r="H309" s="18"/>
      <c r="I309" s="18"/>
      <c r="J309" s="18"/>
      <c r="K309" s="18"/>
      <c r="L309" s="18"/>
      <c r="M309" s="34"/>
    </row>
    <row r="310" spans="1:13" ht="15.75" hidden="1" customHeight="1" x14ac:dyDescent="0.25">
      <c r="A310" s="18"/>
      <c r="B310" s="18"/>
      <c r="C310" s="18"/>
      <c r="D310" s="18"/>
      <c r="E310" s="19"/>
      <c r="F310" s="18"/>
      <c r="G310" s="18"/>
      <c r="H310" s="18"/>
      <c r="I310" s="18"/>
      <c r="J310" s="18"/>
      <c r="K310" s="18"/>
      <c r="L310" s="18"/>
      <c r="M310" s="34"/>
    </row>
    <row r="311" spans="1:13" ht="15.75" hidden="1" customHeight="1" x14ac:dyDescent="0.25">
      <c r="A311" s="18"/>
      <c r="B311" s="18"/>
      <c r="C311" s="18"/>
      <c r="D311" s="18"/>
      <c r="E311" s="19"/>
      <c r="F311" s="18"/>
      <c r="G311" s="18"/>
      <c r="H311" s="18"/>
      <c r="I311" s="18"/>
      <c r="J311" s="18"/>
      <c r="K311" s="18"/>
      <c r="L311" s="18"/>
      <c r="M311" s="34"/>
    </row>
    <row r="312" spans="1:13" ht="15.75" hidden="1" customHeight="1" x14ac:dyDescent="0.25">
      <c r="A312" s="18"/>
      <c r="B312" s="18"/>
      <c r="C312" s="18"/>
      <c r="D312" s="18"/>
      <c r="E312" s="19"/>
      <c r="F312" s="18"/>
      <c r="G312" s="18"/>
      <c r="H312" s="18"/>
      <c r="I312" s="18"/>
      <c r="J312" s="18"/>
      <c r="K312" s="18"/>
      <c r="L312" s="18"/>
      <c r="M312" s="34"/>
    </row>
    <row r="313" spans="1:13" ht="15.75" hidden="1" customHeight="1" x14ac:dyDescent="0.25">
      <c r="A313" s="18"/>
      <c r="B313" s="18"/>
      <c r="C313" s="18"/>
      <c r="D313" s="18"/>
      <c r="E313" s="19"/>
      <c r="F313" s="18"/>
      <c r="G313" s="18"/>
      <c r="H313" s="18"/>
      <c r="I313" s="18"/>
      <c r="J313" s="18"/>
      <c r="K313" s="18"/>
      <c r="L313" s="18"/>
      <c r="M313" s="34"/>
    </row>
    <row r="314" spans="1:13" ht="15.75" hidden="1" customHeight="1" x14ac:dyDescent="0.25">
      <c r="A314" s="18"/>
      <c r="B314" s="18"/>
      <c r="C314" s="18"/>
      <c r="D314" s="18"/>
      <c r="E314" s="19"/>
      <c r="F314" s="18"/>
      <c r="G314" s="18"/>
      <c r="H314" s="18"/>
      <c r="I314" s="18"/>
      <c r="J314" s="18"/>
      <c r="K314" s="18"/>
      <c r="L314" s="18"/>
      <c r="M314" s="34"/>
    </row>
    <row r="315" spans="1:13" ht="15.75" hidden="1" customHeight="1" x14ac:dyDescent="0.25">
      <c r="A315" s="18"/>
      <c r="B315" s="18"/>
      <c r="C315" s="18"/>
      <c r="D315" s="18"/>
      <c r="E315" s="19"/>
      <c r="F315" s="18"/>
      <c r="G315" s="18"/>
      <c r="H315" s="18"/>
      <c r="I315" s="18"/>
      <c r="J315" s="18"/>
      <c r="K315" s="18"/>
      <c r="L315" s="18"/>
      <c r="M315" s="34"/>
    </row>
    <row r="316" spans="1:13" ht="15.75" hidden="1" customHeight="1" x14ac:dyDescent="0.25">
      <c r="A316" s="18"/>
      <c r="B316" s="18"/>
      <c r="C316" s="18"/>
      <c r="D316" s="18"/>
      <c r="E316" s="19"/>
      <c r="F316" s="18"/>
      <c r="G316" s="18"/>
      <c r="H316" s="18"/>
      <c r="I316" s="18"/>
      <c r="J316" s="18"/>
      <c r="K316" s="18"/>
      <c r="L316" s="18"/>
      <c r="M316" s="34"/>
    </row>
    <row r="317" spans="1:13" ht="15.75" hidden="1" customHeight="1" x14ac:dyDescent="0.25">
      <c r="A317" s="18"/>
      <c r="B317" s="18"/>
      <c r="C317" s="18"/>
      <c r="D317" s="18"/>
      <c r="E317" s="19"/>
      <c r="F317" s="18"/>
      <c r="G317" s="18"/>
      <c r="H317" s="18"/>
      <c r="I317" s="18"/>
      <c r="J317" s="18"/>
      <c r="K317" s="18"/>
      <c r="L317" s="18"/>
      <c r="M317" s="34"/>
    </row>
    <row r="318" spans="1:13" ht="15.75" hidden="1" customHeight="1" x14ac:dyDescent="0.25">
      <c r="A318" s="18"/>
      <c r="B318" s="18"/>
      <c r="C318" s="18"/>
      <c r="D318" s="18"/>
      <c r="E318" s="19"/>
      <c r="F318" s="18"/>
      <c r="G318" s="18"/>
      <c r="H318" s="18"/>
      <c r="I318" s="18"/>
      <c r="J318" s="18"/>
      <c r="K318" s="18"/>
      <c r="L318" s="18"/>
      <c r="M318" s="34"/>
    </row>
    <row r="319" spans="1:13" ht="15.75" hidden="1" customHeight="1" x14ac:dyDescent="0.25">
      <c r="A319" s="18"/>
      <c r="B319" s="18"/>
      <c r="C319" s="18"/>
      <c r="D319" s="18"/>
      <c r="E319" s="19"/>
      <c r="F319" s="18"/>
      <c r="G319" s="18"/>
      <c r="H319" s="18"/>
      <c r="I319" s="18"/>
      <c r="J319" s="18"/>
      <c r="K319" s="18"/>
      <c r="L319" s="18"/>
      <c r="M319" s="34"/>
    </row>
    <row r="320" spans="1:13" ht="15.75" hidden="1" customHeight="1" x14ac:dyDescent="0.25">
      <c r="A320" s="18"/>
      <c r="B320" s="18"/>
      <c r="C320" s="18"/>
      <c r="D320" s="18"/>
      <c r="E320" s="19"/>
      <c r="F320" s="18"/>
      <c r="G320" s="18"/>
      <c r="H320" s="18"/>
      <c r="I320" s="18"/>
      <c r="J320" s="18"/>
      <c r="K320" s="18"/>
      <c r="L320" s="18"/>
      <c r="M320" s="34"/>
    </row>
    <row r="321" spans="1:13" ht="15.75" hidden="1" customHeight="1" x14ac:dyDescent="0.25">
      <c r="A321" s="18"/>
      <c r="B321" s="18"/>
      <c r="C321" s="18"/>
      <c r="D321" s="18"/>
      <c r="E321" s="19"/>
      <c r="F321" s="18"/>
      <c r="G321" s="18"/>
      <c r="H321" s="18"/>
      <c r="I321" s="18"/>
      <c r="J321" s="18"/>
      <c r="K321" s="18"/>
      <c r="L321" s="18"/>
      <c r="M321" s="34"/>
    </row>
    <row r="322" spans="1:13" ht="15.75" hidden="1" customHeight="1" x14ac:dyDescent="0.25">
      <c r="A322" s="18"/>
      <c r="B322" s="18"/>
      <c r="C322" s="18"/>
      <c r="D322" s="18"/>
      <c r="E322" s="19"/>
      <c r="F322" s="18"/>
      <c r="G322" s="18"/>
      <c r="H322" s="18"/>
      <c r="I322" s="18"/>
      <c r="J322" s="18"/>
      <c r="K322" s="18"/>
      <c r="L322" s="18"/>
      <c r="M322" s="34"/>
    </row>
    <row r="323" spans="1:13" ht="15.75" hidden="1" customHeight="1" x14ac:dyDescent="0.25">
      <c r="A323" s="18"/>
      <c r="B323" s="18"/>
      <c r="C323" s="18"/>
      <c r="D323" s="18"/>
      <c r="E323" s="19"/>
      <c r="F323" s="18"/>
      <c r="G323" s="18"/>
      <c r="H323" s="18"/>
      <c r="I323" s="18"/>
      <c r="J323" s="18"/>
      <c r="K323" s="18"/>
      <c r="L323" s="18"/>
      <c r="M323" s="34"/>
    </row>
    <row r="324" spans="1:13" ht="15.75" hidden="1" customHeight="1" x14ac:dyDescent="0.25">
      <c r="A324" s="18"/>
      <c r="B324" s="18"/>
      <c r="C324" s="18"/>
      <c r="D324" s="18"/>
      <c r="E324" s="19"/>
      <c r="F324" s="18"/>
      <c r="G324" s="18"/>
      <c r="H324" s="18"/>
      <c r="I324" s="18"/>
      <c r="J324" s="18"/>
      <c r="K324" s="18"/>
      <c r="L324" s="18"/>
      <c r="M324" s="34"/>
    </row>
    <row r="325" spans="1:13" ht="15.75" hidden="1" customHeight="1" x14ac:dyDescent="0.25">
      <c r="A325" s="18"/>
      <c r="B325" s="18"/>
      <c r="C325" s="18"/>
      <c r="D325" s="18"/>
      <c r="E325" s="19"/>
      <c r="F325" s="18"/>
      <c r="G325" s="18"/>
      <c r="H325" s="18"/>
      <c r="I325" s="18"/>
      <c r="J325" s="18"/>
      <c r="K325" s="18"/>
      <c r="L325" s="18"/>
      <c r="M325" s="34"/>
    </row>
    <row r="326" spans="1:13" ht="15.75" hidden="1" customHeight="1" x14ac:dyDescent="0.25">
      <c r="A326" s="18"/>
      <c r="B326" s="18"/>
      <c r="C326" s="18"/>
      <c r="D326" s="18"/>
      <c r="E326" s="19"/>
      <c r="F326" s="18"/>
      <c r="G326" s="18"/>
      <c r="H326" s="18"/>
      <c r="I326" s="18"/>
      <c r="J326" s="18"/>
      <c r="K326" s="18"/>
      <c r="L326" s="18"/>
      <c r="M326" s="34"/>
    </row>
    <row r="327" spans="1:13" ht="15.75" hidden="1" customHeight="1" x14ac:dyDescent="0.25">
      <c r="A327" s="18"/>
      <c r="B327" s="18"/>
      <c r="C327" s="18"/>
      <c r="D327" s="18"/>
      <c r="E327" s="19"/>
      <c r="F327" s="18"/>
      <c r="G327" s="18"/>
      <c r="H327" s="18"/>
      <c r="I327" s="18"/>
      <c r="J327" s="18"/>
      <c r="K327" s="18"/>
      <c r="L327" s="18"/>
      <c r="M327" s="34"/>
    </row>
    <row r="328" spans="1:13" ht="15.75" hidden="1" customHeight="1" x14ac:dyDescent="0.25">
      <c r="A328" s="18"/>
      <c r="B328" s="18"/>
      <c r="C328" s="18"/>
      <c r="D328" s="18"/>
      <c r="E328" s="19"/>
      <c r="F328" s="18"/>
      <c r="G328" s="18"/>
      <c r="H328" s="18"/>
      <c r="I328" s="18"/>
      <c r="J328" s="18"/>
      <c r="K328" s="18"/>
      <c r="L328" s="18"/>
      <c r="M328" s="34"/>
    </row>
    <row r="329" spans="1:13" ht="15.75" hidden="1" customHeight="1" x14ac:dyDescent="0.25">
      <c r="A329" s="7"/>
      <c r="B329" s="7"/>
      <c r="E329" s="21"/>
      <c r="K329" s="7"/>
      <c r="L329" s="7"/>
      <c r="M329" s="35"/>
    </row>
    <row r="330" spans="1:13" ht="15.75" hidden="1" customHeight="1" x14ac:dyDescent="0.25">
      <c r="A330" s="7"/>
      <c r="B330" s="7"/>
      <c r="E330" s="21"/>
      <c r="K330" s="7"/>
      <c r="L330" s="7"/>
      <c r="M330" s="35"/>
    </row>
    <row r="331" spans="1:13" ht="15.75" hidden="1" customHeight="1" x14ac:dyDescent="0.25">
      <c r="A331" s="7"/>
      <c r="B331" s="7"/>
      <c r="E331" s="21"/>
      <c r="K331" s="7"/>
      <c r="L331" s="7"/>
      <c r="M331" s="35"/>
    </row>
    <row r="332" spans="1:13" ht="15.75" hidden="1" customHeight="1" x14ac:dyDescent="0.25">
      <c r="A332" s="7"/>
      <c r="B332" s="7"/>
      <c r="E332" s="21"/>
      <c r="K332" s="7"/>
      <c r="L332" s="7"/>
      <c r="M332" s="35"/>
    </row>
    <row r="333" spans="1:13" ht="15.75" hidden="1" customHeight="1" x14ac:dyDescent="0.25">
      <c r="A333" s="7"/>
      <c r="B333" s="7"/>
      <c r="E333" s="21"/>
      <c r="K333" s="7"/>
      <c r="L333" s="7"/>
      <c r="M333" s="35"/>
    </row>
    <row r="334" spans="1:13" ht="15.75" hidden="1" customHeight="1" x14ac:dyDescent="0.25">
      <c r="A334" s="7"/>
      <c r="B334" s="7"/>
      <c r="E334" s="21"/>
      <c r="K334" s="7"/>
      <c r="L334" s="7"/>
      <c r="M334" s="35"/>
    </row>
    <row r="335" spans="1:13" ht="15.75" hidden="1" customHeight="1" x14ac:dyDescent="0.25">
      <c r="A335" s="7"/>
      <c r="B335" s="7"/>
      <c r="E335" s="21"/>
      <c r="K335" s="7"/>
      <c r="L335" s="7"/>
      <c r="M335" s="35"/>
    </row>
    <row r="336" spans="1:13" ht="15.75" hidden="1" customHeight="1" x14ac:dyDescent="0.25">
      <c r="A336" s="7"/>
      <c r="B336" s="7"/>
      <c r="E336" s="21"/>
      <c r="K336" s="7"/>
      <c r="L336" s="7"/>
      <c r="M336" s="35"/>
    </row>
    <row r="337" spans="1:13" ht="15.75" hidden="1" customHeight="1" x14ac:dyDescent="0.25">
      <c r="A337" s="7"/>
      <c r="B337" s="7"/>
      <c r="E337" s="21"/>
      <c r="K337" s="7"/>
      <c r="L337" s="7"/>
      <c r="M337" s="35"/>
    </row>
    <row r="338" spans="1:13" ht="15.75" hidden="1" customHeight="1" x14ac:dyDescent="0.25">
      <c r="A338" s="7"/>
      <c r="B338" s="7"/>
      <c r="E338" s="21"/>
      <c r="K338" s="7"/>
      <c r="L338" s="7"/>
      <c r="M338" s="35"/>
    </row>
    <row r="339" spans="1:13" ht="15.75" hidden="1" customHeight="1" x14ac:dyDescent="0.25">
      <c r="A339" s="7"/>
      <c r="B339" s="7"/>
      <c r="E339" s="21"/>
      <c r="K339" s="7"/>
      <c r="L339" s="7"/>
      <c r="M339" s="35"/>
    </row>
    <row r="340" spans="1:13" ht="15.75" hidden="1" customHeight="1" x14ac:dyDescent="0.25">
      <c r="A340" s="7"/>
      <c r="B340" s="7"/>
      <c r="E340" s="21"/>
      <c r="K340" s="7"/>
      <c r="L340" s="7"/>
      <c r="M340" s="35"/>
    </row>
    <row r="341" spans="1:13" ht="15.75" hidden="1" customHeight="1" x14ac:dyDescent="0.25">
      <c r="A341" s="7"/>
      <c r="B341" s="7"/>
      <c r="E341" s="21"/>
      <c r="K341" s="7"/>
      <c r="L341" s="7"/>
      <c r="M341" s="35"/>
    </row>
    <row r="342" spans="1:13" ht="15.75" hidden="1" customHeight="1" x14ac:dyDescent="0.25">
      <c r="A342" s="7"/>
      <c r="B342" s="7"/>
      <c r="E342" s="21"/>
      <c r="K342" s="7"/>
      <c r="L342" s="7"/>
      <c r="M342" s="35"/>
    </row>
    <row r="343" spans="1:13" ht="15.75" hidden="1" customHeight="1" x14ac:dyDescent="0.25">
      <c r="A343" s="7"/>
      <c r="B343" s="7"/>
      <c r="E343" s="21"/>
      <c r="K343" s="7"/>
      <c r="L343" s="7"/>
      <c r="M343" s="35"/>
    </row>
    <row r="344" spans="1:13" ht="15.75" hidden="1" customHeight="1" x14ac:dyDescent="0.25">
      <c r="A344" s="7"/>
      <c r="B344" s="7"/>
      <c r="E344" s="21"/>
      <c r="K344" s="7"/>
      <c r="L344" s="7"/>
      <c r="M344" s="35"/>
    </row>
    <row r="345" spans="1:13" ht="15.75" hidden="1" customHeight="1" x14ac:dyDescent="0.25">
      <c r="A345" s="7"/>
      <c r="B345" s="7"/>
      <c r="E345" s="21"/>
      <c r="K345" s="7"/>
      <c r="L345" s="7"/>
      <c r="M345" s="35"/>
    </row>
    <row r="346" spans="1:13" ht="15.75" hidden="1" customHeight="1" x14ac:dyDescent="0.25">
      <c r="A346" s="7"/>
      <c r="B346" s="7"/>
      <c r="E346" s="21"/>
      <c r="K346" s="7"/>
      <c r="L346" s="7"/>
      <c r="M346" s="35"/>
    </row>
    <row r="347" spans="1:13" ht="15.75" hidden="1" customHeight="1" x14ac:dyDescent="0.25">
      <c r="A347" s="7"/>
      <c r="B347" s="7"/>
      <c r="E347" s="21"/>
      <c r="K347" s="7"/>
      <c r="L347" s="7"/>
      <c r="M347" s="35"/>
    </row>
    <row r="348" spans="1:13" ht="15.75" hidden="1" customHeight="1" x14ac:dyDescent="0.25">
      <c r="A348" s="7"/>
      <c r="B348" s="7"/>
      <c r="E348" s="21"/>
      <c r="K348" s="7"/>
      <c r="L348" s="7"/>
      <c r="M348" s="35"/>
    </row>
    <row r="349" spans="1:13" ht="15.75" hidden="1" customHeight="1" x14ac:dyDescent="0.25">
      <c r="A349" s="7"/>
      <c r="B349" s="7"/>
      <c r="E349" s="21"/>
      <c r="K349" s="7"/>
      <c r="L349" s="7"/>
      <c r="M349" s="35"/>
    </row>
    <row r="350" spans="1:13" ht="15.75" hidden="1" customHeight="1" x14ac:dyDescent="0.25">
      <c r="A350" s="7"/>
      <c r="B350" s="7"/>
      <c r="E350" s="21"/>
      <c r="K350" s="7"/>
      <c r="L350" s="7"/>
      <c r="M350" s="35"/>
    </row>
    <row r="351" spans="1:13" ht="15.75" hidden="1" customHeight="1" x14ac:dyDescent="0.25">
      <c r="A351" s="7"/>
      <c r="B351" s="7"/>
      <c r="E351" s="21"/>
      <c r="K351" s="7"/>
      <c r="L351" s="7"/>
      <c r="M351" s="35"/>
    </row>
    <row r="352" spans="1:13" ht="15.75" hidden="1" customHeight="1" x14ac:dyDescent="0.25">
      <c r="A352" s="7"/>
      <c r="B352" s="7"/>
      <c r="E352" s="21"/>
      <c r="K352" s="7"/>
      <c r="L352" s="7"/>
      <c r="M352" s="35"/>
    </row>
    <row r="353" spans="1:13" ht="15.75" hidden="1" customHeight="1" x14ac:dyDescent="0.25">
      <c r="A353" s="7"/>
      <c r="B353" s="7"/>
      <c r="E353" s="21"/>
      <c r="K353" s="7"/>
      <c r="L353" s="7"/>
      <c r="M353" s="35"/>
    </row>
    <row r="354" spans="1:13" ht="15.75" hidden="1" customHeight="1" x14ac:dyDescent="0.25">
      <c r="A354" s="7"/>
      <c r="B354" s="7"/>
      <c r="E354" s="21"/>
      <c r="K354" s="7"/>
      <c r="L354" s="7"/>
      <c r="M354" s="35"/>
    </row>
    <row r="355" spans="1:13" ht="15.75" hidden="1" customHeight="1" x14ac:dyDescent="0.25">
      <c r="A355" s="7"/>
      <c r="B355" s="7"/>
      <c r="E355" s="21"/>
      <c r="K355" s="7"/>
      <c r="L355" s="7"/>
      <c r="M355" s="35"/>
    </row>
    <row r="356" spans="1:13" ht="15.75" hidden="1" customHeight="1" x14ac:dyDescent="0.25">
      <c r="A356" s="7"/>
      <c r="B356" s="7"/>
      <c r="E356" s="21"/>
      <c r="K356" s="7"/>
      <c r="L356" s="7"/>
      <c r="M356" s="35"/>
    </row>
    <row r="357" spans="1:13" ht="15.75" hidden="1" customHeight="1" x14ac:dyDescent="0.25">
      <c r="A357" s="7"/>
      <c r="B357" s="7"/>
      <c r="E357" s="21"/>
      <c r="K357" s="7"/>
      <c r="L357" s="7"/>
      <c r="M357" s="35"/>
    </row>
    <row r="358" spans="1:13" ht="15.75" hidden="1" customHeight="1" x14ac:dyDescent="0.25">
      <c r="A358" s="7"/>
      <c r="B358" s="7"/>
      <c r="E358" s="21"/>
      <c r="K358" s="7"/>
      <c r="L358" s="7"/>
      <c r="M358" s="35"/>
    </row>
    <row r="359" spans="1:13" ht="15.75" hidden="1" customHeight="1" x14ac:dyDescent="0.25">
      <c r="A359" s="7"/>
      <c r="B359" s="7"/>
      <c r="E359" s="21"/>
      <c r="K359" s="7"/>
      <c r="L359" s="7"/>
      <c r="M359" s="35"/>
    </row>
    <row r="360" spans="1:13" ht="15.75" hidden="1" customHeight="1" x14ac:dyDescent="0.25">
      <c r="A360" s="7"/>
      <c r="B360" s="7"/>
      <c r="E360" s="21"/>
      <c r="K360" s="7"/>
      <c r="L360" s="7"/>
      <c r="M360" s="35"/>
    </row>
    <row r="361" spans="1:13" ht="15.75" hidden="1" customHeight="1" x14ac:dyDescent="0.25">
      <c r="A361" s="7"/>
      <c r="B361" s="7"/>
      <c r="E361" s="21"/>
      <c r="K361" s="7"/>
      <c r="L361" s="7"/>
      <c r="M361" s="35"/>
    </row>
    <row r="362" spans="1:13" ht="15.75" hidden="1" customHeight="1" x14ac:dyDescent="0.25">
      <c r="A362" s="7"/>
      <c r="B362" s="7"/>
      <c r="E362" s="21"/>
      <c r="K362" s="7"/>
      <c r="L362" s="7"/>
      <c r="M362" s="35"/>
    </row>
    <row r="363" spans="1:13" ht="15.75" hidden="1" customHeight="1" x14ac:dyDescent="0.25">
      <c r="A363" s="7"/>
      <c r="B363" s="7"/>
      <c r="E363" s="21"/>
      <c r="K363" s="7"/>
      <c r="L363" s="7"/>
      <c r="M363" s="35"/>
    </row>
    <row r="364" spans="1:13" ht="15.75" hidden="1" customHeight="1" x14ac:dyDescent="0.25">
      <c r="A364" s="7"/>
      <c r="B364" s="7"/>
      <c r="E364" s="21"/>
      <c r="K364" s="7"/>
      <c r="L364" s="7"/>
      <c r="M364" s="35"/>
    </row>
    <row r="365" spans="1:13" ht="15.75" hidden="1" customHeight="1" x14ac:dyDescent="0.25">
      <c r="A365" s="7"/>
      <c r="B365" s="7"/>
      <c r="E365" s="21"/>
      <c r="K365" s="7"/>
      <c r="L365" s="7"/>
      <c r="M365" s="35"/>
    </row>
    <row r="366" spans="1:13" ht="15.75" hidden="1" customHeight="1" x14ac:dyDescent="0.25">
      <c r="A366" s="7"/>
      <c r="B366" s="7"/>
      <c r="E366" s="21"/>
      <c r="K366" s="7"/>
      <c r="L366" s="7"/>
      <c r="M366" s="35"/>
    </row>
    <row r="367" spans="1:13" ht="15.75" hidden="1" customHeight="1" x14ac:dyDescent="0.25">
      <c r="A367" s="7"/>
      <c r="B367" s="7"/>
      <c r="E367" s="21"/>
      <c r="K367" s="7"/>
      <c r="L367" s="7"/>
      <c r="M367" s="35"/>
    </row>
    <row r="368" spans="1:13" ht="15.75" hidden="1" customHeight="1" x14ac:dyDescent="0.25">
      <c r="A368" s="7"/>
      <c r="B368" s="7"/>
      <c r="E368" s="21"/>
      <c r="K368" s="7"/>
      <c r="L368" s="7"/>
      <c r="M368" s="35"/>
    </row>
    <row r="369" spans="1:13" ht="15.75" hidden="1" customHeight="1" x14ac:dyDescent="0.25">
      <c r="A369" s="7"/>
      <c r="B369" s="7"/>
      <c r="E369" s="21"/>
      <c r="K369" s="7"/>
      <c r="L369" s="7"/>
      <c r="M369" s="35"/>
    </row>
    <row r="370" spans="1:13" ht="15.75" hidden="1" customHeight="1" x14ac:dyDescent="0.25">
      <c r="A370" s="7"/>
      <c r="B370" s="7"/>
      <c r="E370" s="21"/>
      <c r="K370" s="7"/>
      <c r="L370" s="7"/>
      <c r="M370" s="35"/>
    </row>
    <row r="371" spans="1:13" ht="15.75" hidden="1" customHeight="1" x14ac:dyDescent="0.25">
      <c r="A371" s="7"/>
      <c r="B371" s="7"/>
      <c r="E371" s="21"/>
      <c r="K371" s="7"/>
      <c r="L371" s="7"/>
      <c r="M371" s="35"/>
    </row>
    <row r="372" spans="1:13" ht="15.75" hidden="1" customHeight="1" x14ac:dyDescent="0.25">
      <c r="A372" s="7"/>
      <c r="B372" s="7"/>
      <c r="E372" s="21"/>
      <c r="K372" s="7"/>
      <c r="L372" s="7"/>
      <c r="M372" s="35"/>
    </row>
    <row r="373" spans="1:13" ht="15.75" hidden="1" customHeight="1" x14ac:dyDescent="0.25">
      <c r="A373" s="7"/>
      <c r="B373" s="7"/>
      <c r="E373" s="21"/>
      <c r="K373" s="7"/>
      <c r="L373" s="7"/>
      <c r="M373" s="35"/>
    </row>
    <row r="374" spans="1:13" ht="15.75" hidden="1" customHeight="1" x14ac:dyDescent="0.25">
      <c r="A374" s="7"/>
      <c r="B374" s="7"/>
      <c r="E374" s="21"/>
      <c r="K374" s="7"/>
      <c r="L374" s="7"/>
      <c r="M374" s="35"/>
    </row>
    <row r="375" spans="1:13" ht="15.75" hidden="1" customHeight="1" x14ac:dyDescent="0.25">
      <c r="A375" s="7"/>
      <c r="B375" s="7"/>
      <c r="E375" s="21"/>
      <c r="K375" s="7"/>
      <c r="L375" s="7"/>
      <c r="M375" s="35"/>
    </row>
    <row r="376" spans="1:13" ht="15.75" hidden="1" customHeight="1" x14ac:dyDescent="0.25">
      <c r="A376" s="7"/>
      <c r="B376" s="7"/>
      <c r="E376" s="21"/>
      <c r="K376" s="7"/>
      <c r="L376" s="7"/>
      <c r="M376" s="35"/>
    </row>
    <row r="377" spans="1:13" ht="15.75" hidden="1" customHeight="1" x14ac:dyDescent="0.25">
      <c r="A377" s="7"/>
      <c r="B377" s="7"/>
      <c r="E377" s="21"/>
      <c r="K377" s="7"/>
      <c r="L377" s="7"/>
      <c r="M377" s="35"/>
    </row>
    <row r="378" spans="1:13" ht="15.75" hidden="1" customHeight="1" x14ac:dyDescent="0.25">
      <c r="A378" s="7"/>
      <c r="B378" s="7"/>
      <c r="E378" s="21"/>
      <c r="K378" s="7"/>
      <c r="L378" s="7"/>
      <c r="M378" s="35"/>
    </row>
    <row r="379" spans="1:13" ht="15.75" hidden="1" customHeight="1" x14ac:dyDescent="0.25">
      <c r="A379" s="7"/>
      <c r="B379" s="7"/>
      <c r="E379" s="21"/>
      <c r="K379" s="7"/>
      <c r="L379" s="7"/>
      <c r="M379" s="35"/>
    </row>
    <row r="380" spans="1:13" ht="15.75" hidden="1" customHeight="1" x14ac:dyDescent="0.25">
      <c r="A380" s="7"/>
      <c r="B380" s="7"/>
      <c r="E380" s="21"/>
      <c r="K380" s="7"/>
      <c r="L380" s="7"/>
      <c r="M380" s="35"/>
    </row>
    <row r="381" spans="1:13" ht="15.75" hidden="1" customHeight="1" x14ac:dyDescent="0.25">
      <c r="A381" s="7"/>
      <c r="B381" s="7"/>
      <c r="E381" s="21"/>
      <c r="K381" s="7"/>
      <c r="L381" s="7"/>
      <c r="M381" s="35"/>
    </row>
    <row r="382" spans="1:13" ht="15.75" hidden="1" customHeight="1" x14ac:dyDescent="0.25">
      <c r="A382" s="7"/>
      <c r="B382" s="7"/>
      <c r="E382" s="21"/>
      <c r="K382" s="7"/>
      <c r="L382" s="7"/>
      <c r="M382" s="35"/>
    </row>
    <row r="383" spans="1:13" ht="15.75" hidden="1" customHeight="1" x14ac:dyDescent="0.25">
      <c r="A383" s="7"/>
      <c r="B383" s="7"/>
      <c r="E383" s="21"/>
      <c r="K383" s="7"/>
      <c r="L383" s="7"/>
      <c r="M383" s="35"/>
    </row>
    <row r="384" spans="1:13" ht="15.75" hidden="1" customHeight="1" x14ac:dyDescent="0.25">
      <c r="A384" s="7"/>
      <c r="B384" s="7"/>
      <c r="E384" s="21"/>
      <c r="K384" s="7"/>
      <c r="L384" s="7"/>
      <c r="M384" s="35"/>
    </row>
    <row r="385" spans="1:13" ht="15.75" hidden="1" customHeight="1" x14ac:dyDescent="0.25">
      <c r="A385" s="7"/>
      <c r="B385" s="7"/>
      <c r="E385" s="21"/>
      <c r="K385" s="7"/>
      <c r="L385" s="7"/>
      <c r="M385" s="35"/>
    </row>
    <row r="386" spans="1:13" ht="15.75" hidden="1" customHeight="1" x14ac:dyDescent="0.25">
      <c r="A386" s="7"/>
      <c r="B386" s="7"/>
      <c r="E386" s="21"/>
      <c r="K386" s="7"/>
      <c r="L386" s="7"/>
      <c r="M386" s="35"/>
    </row>
    <row r="387" spans="1:13" ht="15.75" hidden="1" customHeight="1" x14ac:dyDescent="0.25">
      <c r="A387" s="7"/>
      <c r="B387" s="7"/>
      <c r="E387" s="21"/>
      <c r="K387" s="7"/>
      <c r="L387" s="7"/>
      <c r="M387" s="35"/>
    </row>
    <row r="388" spans="1:13" ht="15.75" hidden="1" customHeight="1" x14ac:dyDescent="0.25">
      <c r="A388" s="7"/>
      <c r="B388" s="7"/>
      <c r="E388" s="21"/>
      <c r="K388" s="7"/>
      <c r="L388" s="7"/>
      <c r="M388" s="35"/>
    </row>
    <row r="389" spans="1:13" ht="15.75" hidden="1" customHeight="1" x14ac:dyDescent="0.25">
      <c r="A389" s="7"/>
      <c r="B389" s="7"/>
      <c r="E389" s="21"/>
      <c r="K389" s="7"/>
      <c r="L389" s="7"/>
      <c r="M389" s="35"/>
    </row>
    <row r="390" spans="1:13" ht="15.75" hidden="1" customHeight="1" x14ac:dyDescent="0.25">
      <c r="A390" s="7"/>
      <c r="B390" s="7"/>
      <c r="E390" s="21"/>
      <c r="K390" s="7"/>
      <c r="L390" s="7"/>
      <c r="M390" s="35"/>
    </row>
    <row r="391" spans="1:13" ht="15.75" hidden="1" customHeight="1" x14ac:dyDescent="0.25">
      <c r="A391" s="7"/>
      <c r="B391" s="7"/>
      <c r="E391" s="21"/>
      <c r="K391" s="7"/>
      <c r="L391" s="7"/>
      <c r="M391" s="35"/>
    </row>
    <row r="392" spans="1:13" ht="15.75" hidden="1" customHeight="1" x14ac:dyDescent="0.25">
      <c r="A392" s="7"/>
      <c r="B392" s="7"/>
      <c r="E392" s="21"/>
      <c r="K392" s="7"/>
      <c r="L392" s="7"/>
      <c r="M392" s="35"/>
    </row>
    <row r="393" spans="1:13" ht="15.75" hidden="1" customHeight="1" x14ac:dyDescent="0.25">
      <c r="A393" s="7"/>
      <c r="B393" s="7"/>
      <c r="E393" s="21"/>
      <c r="K393" s="7"/>
      <c r="L393" s="7"/>
      <c r="M393" s="35"/>
    </row>
    <row r="394" spans="1:13" ht="15.75" hidden="1" customHeight="1" x14ac:dyDescent="0.25">
      <c r="A394" s="7"/>
      <c r="B394" s="7"/>
      <c r="E394" s="21"/>
      <c r="K394" s="7"/>
      <c r="L394" s="7"/>
      <c r="M394" s="35"/>
    </row>
    <row r="395" spans="1:13" ht="15.75" hidden="1" customHeight="1" x14ac:dyDescent="0.25">
      <c r="A395" s="7"/>
      <c r="B395" s="7"/>
      <c r="E395" s="21"/>
      <c r="K395" s="7"/>
      <c r="L395" s="7"/>
      <c r="M395" s="35"/>
    </row>
    <row r="396" spans="1:13" ht="15.75" hidden="1" customHeight="1" x14ac:dyDescent="0.25">
      <c r="A396" s="7"/>
      <c r="B396" s="7"/>
      <c r="E396" s="21"/>
      <c r="K396" s="7"/>
      <c r="L396" s="7"/>
      <c r="M396" s="35"/>
    </row>
    <row r="397" spans="1:13" ht="15.75" hidden="1" customHeight="1" x14ac:dyDescent="0.25">
      <c r="A397" s="7"/>
      <c r="B397" s="7"/>
      <c r="E397" s="21"/>
      <c r="K397" s="7"/>
      <c r="L397" s="7"/>
      <c r="M397" s="35"/>
    </row>
    <row r="398" spans="1:13" ht="15.75" hidden="1" customHeight="1" x14ac:dyDescent="0.25">
      <c r="A398" s="7"/>
      <c r="B398" s="7"/>
      <c r="E398" s="21"/>
      <c r="K398" s="7"/>
      <c r="L398" s="7"/>
      <c r="M398" s="35"/>
    </row>
    <row r="399" spans="1:13" ht="15.75" hidden="1" customHeight="1" x14ac:dyDescent="0.25">
      <c r="A399" s="7"/>
      <c r="B399" s="7"/>
      <c r="E399" s="21"/>
      <c r="K399" s="7"/>
      <c r="L399" s="7"/>
      <c r="M399" s="35"/>
    </row>
    <row r="400" spans="1:13" ht="15.75" hidden="1" customHeight="1" x14ac:dyDescent="0.25">
      <c r="A400" s="7"/>
      <c r="B400" s="7"/>
      <c r="E400" s="21"/>
      <c r="K400" s="7"/>
      <c r="L400" s="7"/>
      <c r="M400" s="35"/>
    </row>
    <row r="401" spans="1:13" ht="15.75" hidden="1" customHeight="1" x14ac:dyDescent="0.25">
      <c r="A401" s="7"/>
      <c r="B401" s="7"/>
      <c r="E401" s="21"/>
      <c r="K401" s="7"/>
      <c r="L401" s="7"/>
      <c r="M401" s="35"/>
    </row>
    <row r="402" spans="1:13" ht="15.75" hidden="1" customHeight="1" x14ac:dyDescent="0.25">
      <c r="A402" s="7"/>
      <c r="B402" s="7"/>
      <c r="E402" s="21"/>
      <c r="K402" s="7"/>
      <c r="L402" s="7"/>
      <c r="M402" s="35"/>
    </row>
    <row r="403" spans="1:13" ht="15.75" hidden="1" customHeight="1" x14ac:dyDescent="0.25">
      <c r="A403" s="7"/>
      <c r="B403" s="7"/>
      <c r="E403" s="21"/>
      <c r="K403" s="7"/>
      <c r="L403" s="7"/>
      <c r="M403" s="35"/>
    </row>
    <row r="404" spans="1:13" ht="15.75" hidden="1" customHeight="1" x14ac:dyDescent="0.25">
      <c r="A404" s="7"/>
      <c r="B404" s="7"/>
      <c r="E404" s="21"/>
      <c r="K404" s="7"/>
      <c r="L404" s="7"/>
      <c r="M404" s="35"/>
    </row>
    <row r="405" spans="1:13" ht="15.75" hidden="1" customHeight="1" x14ac:dyDescent="0.25">
      <c r="A405" s="7"/>
      <c r="B405" s="7"/>
      <c r="E405" s="21"/>
      <c r="K405" s="7"/>
      <c r="L405" s="7"/>
      <c r="M405" s="35"/>
    </row>
    <row r="406" spans="1:13" ht="15.75" hidden="1" customHeight="1" x14ac:dyDescent="0.25">
      <c r="A406" s="7"/>
      <c r="B406" s="7"/>
      <c r="E406" s="21"/>
      <c r="K406" s="7"/>
      <c r="L406" s="7"/>
      <c r="M406" s="35"/>
    </row>
    <row r="407" spans="1:13" ht="15.75" hidden="1" customHeight="1" x14ac:dyDescent="0.25">
      <c r="A407" s="7"/>
      <c r="B407" s="7"/>
      <c r="E407" s="21"/>
      <c r="K407" s="7"/>
      <c r="L407" s="7"/>
      <c r="M407" s="35"/>
    </row>
    <row r="408" spans="1:13" ht="15.75" hidden="1" customHeight="1" x14ac:dyDescent="0.25">
      <c r="A408" s="7"/>
      <c r="B408" s="7"/>
      <c r="E408" s="21"/>
      <c r="K408" s="7"/>
      <c r="L408" s="7"/>
      <c r="M408" s="35"/>
    </row>
    <row r="409" spans="1:13" ht="15.75" hidden="1" customHeight="1" x14ac:dyDescent="0.25">
      <c r="A409" s="7"/>
      <c r="B409" s="7"/>
      <c r="E409" s="21"/>
      <c r="K409" s="7"/>
      <c r="L409" s="7"/>
      <c r="M409" s="35"/>
    </row>
    <row r="410" spans="1:13" ht="15.75" hidden="1" customHeight="1" x14ac:dyDescent="0.25">
      <c r="A410" s="7"/>
      <c r="B410" s="7"/>
      <c r="E410" s="21"/>
      <c r="K410" s="7"/>
      <c r="L410" s="7"/>
      <c r="M410" s="35"/>
    </row>
    <row r="411" spans="1:13" ht="15.75" hidden="1" customHeight="1" x14ac:dyDescent="0.25">
      <c r="A411" s="7"/>
      <c r="B411" s="7"/>
      <c r="E411" s="21"/>
      <c r="K411" s="7"/>
      <c r="L411" s="7"/>
      <c r="M411" s="35"/>
    </row>
    <row r="412" spans="1:13" ht="15.75" hidden="1" customHeight="1" x14ac:dyDescent="0.25">
      <c r="A412" s="7"/>
      <c r="B412" s="7"/>
      <c r="E412" s="21"/>
      <c r="K412" s="7"/>
      <c r="L412" s="7"/>
      <c r="M412" s="35"/>
    </row>
    <row r="413" spans="1:13" ht="15.75" hidden="1" customHeight="1" x14ac:dyDescent="0.25">
      <c r="A413" s="7"/>
      <c r="B413" s="7"/>
      <c r="E413" s="21"/>
      <c r="K413" s="7"/>
      <c r="L413" s="7"/>
      <c r="M413" s="35"/>
    </row>
    <row r="414" spans="1:13" ht="15.75" hidden="1" customHeight="1" x14ac:dyDescent="0.25">
      <c r="A414" s="7"/>
      <c r="B414" s="7"/>
      <c r="E414" s="21"/>
      <c r="K414" s="7"/>
      <c r="L414" s="7"/>
      <c r="M414" s="35"/>
    </row>
    <row r="415" spans="1:13" ht="15.75" hidden="1" customHeight="1" x14ac:dyDescent="0.25">
      <c r="A415" s="7"/>
      <c r="B415" s="7"/>
      <c r="E415" s="21"/>
      <c r="K415" s="7"/>
      <c r="L415" s="7"/>
      <c r="M415" s="35"/>
    </row>
    <row r="416" spans="1:13" ht="15.75" hidden="1" customHeight="1" x14ac:dyDescent="0.25">
      <c r="A416" s="7"/>
      <c r="B416" s="7"/>
      <c r="E416" s="21"/>
      <c r="K416" s="7"/>
      <c r="L416" s="7"/>
      <c r="M416" s="35"/>
    </row>
    <row r="417" spans="1:13" ht="15.75" hidden="1" customHeight="1" x14ac:dyDescent="0.25">
      <c r="A417" s="7"/>
      <c r="B417" s="7"/>
      <c r="E417" s="21"/>
      <c r="K417" s="7"/>
      <c r="L417" s="7"/>
      <c r="M417" s="35"/>
    </row>
    <row r="418" spans="1:13" ht="15.75" hidden="1" customHeight="1" x14ac:dyDescent="0.25">
      <c r="A418" s="7"/>
      <c r="B418" s="7"/>
      <c r="E418" s="21"/>
      <c r="K418" s="7"/>
      <c r="L418" s="7"/>
      <c r="M418" s="35"/>
    </row>
    <row r="419" spans="1:13" ht="15.75" hidden="1" customHeight="1" x14ac:dyDescent="0.25">
      <c r="A419" s="7"/>
      <c r="B419" s="7"/>
      <c r="E419" s="21"/>
      <c r="K419" s="7"/>
      <c r="L419" s="7"/>
      <c r="M419" s="35"/>
    </row>
    <row r="420" spans="1:13" ht="15.75" hidden="1" customHeight="1" x14ac:dyDescent="0.25">
      <c r="A420" s="7"/>
      <c r="B420" s="7"/>
      <c r="E420" s="21"/>
      <c r="K420" s="7"/>
      <c r="L420" s="7"/>
      <c r="M420" s="35"/>
    </row>
    <row r="421" spans="1:13" ht="15.75" hidden="1" customHeight="1" x14ac:dyDescent="0.25">
      <c r="A421" s="7"/>
      <c r="B421" s="7"/>
      <c r="E421" s="21"/>
      <c r="K421" s="7"/>
      <c r="L421" s="7"/>
      <c r="M421" s="35"/>
    </row>
    <row r="422" spans="1:13" ht="15.75" hidden="1" customHeight="1" x14ac:dyDescent="0.25">
      <c r="A422" s="7"/>
      <c r="B422" s="7"/>
      <c r="E422" s="21"/>
      <c r="K422" s="7"/>
      <c r="L422" s="7"/>
      <c r="M422" s="35"/>
    </row>
    <row r="423" spans="1:13" ht="15.75" hidden="1" customHeight="1" x14ac:dyDescent="0.25">
      <c r="A423" s="7"/>
      <c r="B423" s="7"/>
      <c r="E423" s="21"/>
      <c r="K423" s="7"/>
      <c r="L423" s="7"/>
      <c r="M423" s="35"/>
    </row>
    <row r="424" spans="1:13" ht="15.75" hidden="1" customHeight="1" x14ac:dyDescent="0.25">
      <c r="A424" s="7"/>
      <c r="B424" s="7"/>
      <c r="E424" s="21"/>
      <c r="K424" s="7"/>
      <c r="L424" s="7"/>
      <c r="M424" s="35"/>
    </row>
    <row r="425" spans="1:13" ht="15.75" hidden="1" customHeight="1" x14ac:dyDescent="0.25">
      <c r="A425" s="7"/>
      <c r="B425" s="7"/>
      <c r="E425" s="21"/>
      <c r="K425" s="7"/>
      <c r="L425" s="7"/>
      <c r="M425" s="35"/>
    </row>
    <row r="426" spans="1:13" ht="15.75" hidden="1" customHeight="1" x14ac:dyDescent="0.25">
      <c r="A426" s="7"/>
      <c r="B426" s="7"/>
      <c r="E426" s="21"/>
      <c r="K426" s="7"/>
      <c r="L426" s="7"/>
      <c r="M426" s="35"/>
    </row>
    <row r="427" spans="1:13" ht="15.75" hidden="1" customHeight="1" x14ac:dyDescent="0.25">
      <c r="A427" s="7"/>
      <c r="B427" s="7"/>
      <c r="E427" s="21"/>
      <c r="K427" s="7"/>
      <c r="L427" s="7"/>
      <c r="M427" s="35"/>
    </row>
    <row r="428" spans="1:13" ht="15.75" hidden="1" customHeight="1" x14ac:dyDescent="0.25">
      <c r="A428" s="7"/>
      <c r="B428" s="7"/>
      <c r="E428" s="21"/>
      <c r="K428" s="7"/>
      <c r="L428" s="7"/>
      <c r="M428" s="35"/>
    </row>
    <row r="429" spans="1:13" ht="15.75" hidden="1" customHeight="1" x14ac:dyDescent="0.25">
      <c r="A429" s="7"/>
      <c r="B429" s="7"/>
      <c r="E429" s="21"/>
      <c r="K429" s="7"/>
      <c r="L429" s="7"/>
      <c r="M429" s="35"/>
    </row>
    <row r="430" spans="1:13" ht="15.75" hidden="1" customHeight="1" x14ac:dyDescent="0.25">
      <c r="A430" s="7"/>
      <c r="B430" s="7"/>
      <c r="E430" s="21"/>
      <c r="K430" s="7"/>
      <c r="L430" s="7"/>
      <c r="M430" s="35"/>
    </row>
    <row r="431" spans="1:13" ht="15.75" hidden="1" customHeight="1" x14ac:dyDescent="0.25">
      <c r="A431" s="7"/>
      <c r="B431" s="7"/>
      <c r="E431" s="21"/>
      <c r="K431" s="7"/>
      <c r="L431" s="7"/>
      <c r="M431" s="35"/>
    </row>
    <row r="432" spans="1:13" ht="15.75" hidden="1" customHeight="1" x14ac:dyDescent="0.25">
      <c r="A432" s="7"/>
      <c r="B432" s="7"/>
      <c r="E432" s="21"/>
      <c r="K432" s="7"/>
      <c r="L432" s="7"/>
      <c r="M432" s="35"/>
    </row>
    <row r="433" spans="1:13" ht="15.75" hidden="1" customHeight="1" x14ac:dyDescent="0.25">
      <c r="A433" s="7"/>
      <c r="B433" s="7"/>
      <c r="E433" s="21"/>
      <c r="K433" s="7"/>
      <c r="L433" s="7"/>
      <c r="M433" s="35"/>
    </row>
    <row r="434" spans="1:13" ht="15.75" hidden="1" customHeight="1" x14ac:dyDescent="0.25">
      <c r="A434" s="7"/>
      <c r="B434" s="7"/>
      <c r="E434" s="21"/>
      <c r="K434" s="7"/>
      <c r="L434" s="7"/>
      <c r="M434" s="35"/>
    </row>
    <row r="435" spans="1:13" ht="15.75" hidden="1" customHeight="1" x14ac:dyDescent="0.25">
      <c r="A435" s="7"/>
      <c r="B435" s="7"/>
      <c r="E435" s="21"/>
      <c r="K435" s="7"/>
      <c r="L435" s="7"/>
      <c r="M435" s="35"/>
    </row>
    <row r="436" spans="1:13" ht="15.75" hidden="1" customHeight="1" x14ac:dyDescent="0.25">
      <c r="A436" s="7"/>
      <c r="B436" s="7"/>
      <c r="E436" s="21"/>
      <c r="K436" s="7"/>
      <c r="L436" s="7"/>
      <c r="M436" s="35"/>
    </row>
    <row r="437" spans="1:13" ht="15.75" hidden="1" customHeight="1" x14ac:dyDescent="0.25">
      <c r="A437" s="7"/>
      <c r="B437" s="7"/>
      <c r="E437" s="21"/>
      <c r="K437" s="7"/>
      <c r="L437" s="7"/>
      <c r="M437" s="35"/>
    </row>
    <row r="438" spans="1:13" ht="15.75" hidden="1" customHeight="1" x14ac:dyDescent="0.25">
      <c r="A438" s="7"/>
      <c r="B438" s="7"/>
      <c r="E438" s="21"/>
      <c r="K438" s="7"/>
      <c r="L438" s="7"/>
      <c r="M438" s="35"/>
    </row>
    <row r="439" spans="1:13" ht="15.75" hidden="1" customHeight="1" x14ac:dyDescent="0.25">
      <c r="A439" s="7"/>
      <c r="B439" s="7"/>
      <c r="E439" s="21"/>
      <c r="K439" s="7"/>
      <c r="L439" s="7"/>
      <c r="M439" s="35"/>
    </row>
    <row r="440" spans="1:13" ht="15.75" hidden="1" customHeight="1" x14ac:dyDescent="0.25">
      <c r="A440" s="7"/>
      <c r="B440" s="7"/>
      <c r="E440" s="21"/>
      <c r="K440" s="7"/>
      <c r="L440" s="7"/>
      <c r="M440" s="35"/>
    </row>
    <row r="441" spans="1:13" ht="15.75" hidden="1" customHeight="1" x14ac:dyDescent="0.25">
      <c r="A441" s="7"/>
      <c r="B441" s="7"/>
      <c r="E441" s="21"/>
      <c r="K441" s="7"/>
      <c r="L441" s="7"/>
      <c r="M441" s="35"/>
    </row>
    <row r="442" spans="1:13" ht="15.75" hidden="1" customHeight="1" x14ac:dyDescent="0.25">
      <c r="A442" s="7"/>
      <c r="B442" s="7"/>
      <c r="E442" s="21"/>
      <c r="K442" s="7"/>
      <c r="L442" s="7"/>
      <c r="M442" s="35"/>
    </row>
    <row r="443" spans="1:13" ht="15.75" hidden="1" customHeight="1" x14ac:dyDescent="0.25">
      <c r="A443" s="7"/>
      <c r="B443" s="7"/>
      <c r="E443" s="21"/>
      <c r="K443" s="7"/>
      <c r="L443" s="7"/>
      <c r="M443" s="35"/>
    </row>
    <row r="444" spans="1:13" ht="15.75" hidden="1" customHeight="1" x14ac:dyDescent="0.25">
      <c r="A444" s="7"/>
      <c r="B444" s="7"/>
      <c r="E444" s="21"/>
      <c r="K444" s="7"/>
      <c r="L444" s="7"/>
      <c r="M444" s="35"/>
    </row>
    <row r="445" spans="1:13" ht="15.75" hidden="1" customHeight="1" x14ac:dyDescent="0.25">
      <c r="A445" s="7"/>
      <c r="B445" s="7"/>
      <c r="E445" s="21"/>
      <c r="K445" s="7"/>
      <c r="L445" s="7"/>
      <c r="M445" s="35"/>
    </row>
    <row r="446" spans="1:13" ht="15.75" hidden="1" customHeight="1" x14ac:dyDescent="0.25">
      <c r="A446" s="7"/>
      <c r="B446" s="7"/>
      <c r="E446" s="21"/>
      <c r="K446" s="7"/>
      <c r="L446" s="7"/>
      <c r="M446" s="35"/>
    </row>
    <row r="447" spans="1:13" ht="15.75" hidden="1" customHeight="1" x14ac:dyDescent="0.25">
      <c r="A447" s="7"/>
      <c r="B447" s="7"/>
      <c r="E447" s="21"/>
      <c r="K447" s="7"/>
      <c r="L447" s="7"/>
      <c r="M447" s="35"/>
    </row>
    <row r="448" spans="1:13" ht="15.75" hidden="1" customHeight="1" x14ac:dyDescent="0.25">
      <c r="A448" s="7"/>
      <c r="B448" s="7"/>
      <c r="E448" s="21"/>
      <c r="K448" s="7"/>
      <c r="L448" s="7"/>
      <c r="M448" s="35"/>
    </row>
    <row r="449" spans="1:13" ht="15.75" hidden="1" customHeight="1" x14ac:dyDescent="0.25">
      <c r="A449" s="7"/>
      <c r="B449" s="7"/>
      <c r="E449" s="21"/>
      <c r="K449" s="7"/>
      <c r="L449" s="7"/>
      <c r="M449" s="35"/>
    </row>
    <row r="450" spans="1:13" ht="15.75" hidden="1" customHeight="1" x14ac:dyDescent="0.25">
      <c r="A450" s="7"/>
      <c r="B450" s="7"/>
      <c r="E450" s="21"/>
      <c r="K450" s="7"/>
      <c r="L450" s="7"/>
      <c r="M450" s="35"/>
    </row>
    <row r="451" spans="1:13" ht="15.75" hidden="1" customHeight="1" x14ac:dyDescent="0.25">
      <c r="A451" s="7"/>
      <c r="B451" s="7"/>
      <c r="E451" s="21"/>
      <c r="K451" s="7"/>
      <c r="L451" s="7"/>
      <c r="M451" s="35"/>
    </row>
    <row r="452" spans="1:13" ht="15.75" hidden="1" customHeight="1" x14ac:dyDescent="0.25">
      <c r="A452" s="7"/>
      <c r="B452" s="7"/>
      <c r="E452" s="21"/>
      <c r="K452" s="7"/>
      <c r="L452" s="7"/>
      <c r="M452" s="35"/>
    </row>
    <row r="453" spans="1:13" ht="15.75" hidden="1" customHeight="1" x14ac:dyDescent="0.25">
      <c r="A453" s="7"/>
      <c r="B453" s="7"/>
      <c r="E453" s="21"/>
      <c r="K453" s="7"/>
      <c r="L453" s="7"/>
      <c r="M453" s="35"/>
    </row>
    <row r="454" spans="1:13" ht="15.75" hidden="1" customHeight="1" x14ac:dyDescent="0.25">
      <c r="A454" s="7"/>
      <c r="B454" s="7"/>
      <c r="E454" s="21"/>
      <c r="K454" s="7"/>
      <c r="L454" s="7"/>
      <c r="M454" s="35"/>
    </row>
    <row r="455" spans="1:13" ht="15.75" hidden="1" customHeight="1" x14ac:dyDescent="0.25">
      <c r="A455" s="7"/>
      <c r="B455" s="7"/>
      <c r="E455" s="21"/>
      <c r="K455" s="7"/>
      <c r="L455" s="7"/>
      <c r="M455" s="35"/>
    </row>
    <row r="456" spans="1:13" ht="15.75" hidden="1" customHeight="1" x14ac:dyDescent="0.25">
      <c r="A456" s="7"/>
      <c r="B456" s="7"/>
      <c r="E456" s="21"/>
      <c r="K456" s="7"/>
      <c r="L456" s="7"/>
      <c r="M456" s="35"/>
    </row>
    <row r="457" spans="1:13" ht="15.75" hidden="1" customHeight="1" x14ac:dyDescent="0.25">
      <c r="A457" s="7"/>
      <c r="B457" s="7"/>
      <c r="E457" s="21"/>
      <c r="K457" s="7"/>
      <c r="L457" s="7"/>
      <c r="M457" s="35"/>
    </row>
    <row r="458" spans="1:13" ht="15.75" hidden="1" customHeight="1" x14ac:dyDescent="0.25">
      <c r="A458" s="7"/>
      <c r="B458" s="7"/>
      <c r="E458" s="21"/>
      <c r="K458" s="7"/>
      <c r="L458" s="7"/>
      <c r="M458" s="35"/>
    </row>
    <row r="459" spans="1:13" ht="15.75" hidden="1" customHeight="1" x14ac:dyDescent="0.25">
      <c r="A459" s="7"/>
      <c r="B459" s="7"/>
      <c r="E459" s="21"/>
      <c r="K459" s="7"/>
      <c r="L459" s="7"/>
      <c r="M459" s="35"/>
    </row>
    <row r="460" spans="1:13" ht="15.75" hidden="1" customHeight="1" x14ac:dyDescent="0.25">
      <c r="A460" s="7"/>
      <c r="B460" s="7"/>
      <c r="E460" s="21"/>
      <c r="K460" s="7"/>
      <c r="L460" s="7"/>
      <c r="M460" s="35"/>
    </row>
    <row r="461" spans="1:13" ht="15.75" hidden="1" customHeight="1" x14ac:dyDescent="0.25">
      <c r="A461" s="7"/>
      <c r="B461" s="7"/>
      <c r="E461" s="21"/>
      <c r="K461" s="7"/>
      <c r="L461" s="7"/>
      <c r="M461" s="35"/>
    </row>
    <row r="462" spans="1:13" ht="15.75" hidden="1" customHeight="1" x14ac:dyDescent="0.25">
      <c r="A462" s="7"/>
      <c r="B462" s="7"/>
      <c r="E462" s="21"/>
      <c r="K462" s="7"/>
      <c r="L462" s="7"/>
      <c r="M462" s="35"/>
    </row>
    <row r="463" spans="1:13" ht="15.75" hidden="1" customHeight="1" x14ac:dyDescent="0.25">
      <c r="A463" s="7"/>
      <c r="B463" s="7"/>
      <c r="E463" s="21"/>
      <c r="K463" s="7"/>
      <c r="L463" s="7"/>
      <c r="M463" s="35"/>
    </row>
    <row r="464" spans="1:13" ht="15.75" hidden="1" customHeight="1" x14ac:dyDescent="0.25">
      <c r="A464" s="7"/>
      <c r="B464" s="7"/>
      <c r="E464" s="21"/>
      <c r="K464" s="7"/>
      <c r="L464" s="7"/>
      <c r="M464" s="35"/>
    </row>
    <row r="465" spans="1:13" ht="15.75" hidden="1" customHeight="1" x14ac:dyDescent="0.25">
      <c r="A465" s="7"/>
      <c r="B465" s="7"/>
      <c r="E465" s="21"/>
      <c r="K465" s="7"/>
      <c r="L465" s="7"/>
      <c r="M465" s="35"/>
    </row>
    <row r="466" spans="1:13" ht="15.75" hidden="1" customHeight="1" x14ac:dyDescent="0.25">
      <c r="A466" s="7"/>
      <c r="B466" s="7"/>
      <c r="E466" s="21"/>
      <c r="K466" s="7"/>
      <c r="L466" s="7"/>
      <c r="M466" s="35"/>
    </row>
    <row r="467" spans="1:13" ht="15.75" hidden="1" customHeight="1" x14ac:dyDescent="0.25">
      <c r="A467" s="7"/>
      <c r="B467" s="7"/>
      <c r="E467" s="21"/>
      <c r="K467" s="7"/>
      <c r="L467" s="7"/>
      <c r="M467" s="35"/>
    </row>
    <row r="468" spans="1:13" ht="15.75" hidden="1" customHeight="1" x14ac:dyDescent="0.25">
      <c r="A468" s="7"/>
      <c r="B468" s="7"/>
      <c r="E468" s="21"/>
      <c r="K468" s="7"/>
      <c r="L468" s="7"/>
      <c r="M468" s="35"/>
    </row>
    <row r="469" spans="1:13" ht="15.75" hidden="1" customHeight="1" x14ac:dyDescent="0.25">
      <c r="A469" s="7"/>
      <c r="B469" s="7"/>
      <c r="E469" s="21"/>
      <c r="K469" s="7"/>
      <c r="L469" s="7"/>
      <c r="M469" s="35"/>
    </row>
    <row r="470" spans="1:13" ht="15.75" hidden="1" customHeight="1" x14ac:dyDescent="0.25">
      <c r="A470" s="7"/>
      <c r="B470" s="7"/>
      <c r="E470" s="21"/>
      <c r="K470" s="7"/>
      <c r="L470" s="7"/>
      <c r="M470" s="35"/>
    </row>
    <row r="471" spans="1:13" ht="15.75" hidden="1" customHeight="1" x14ac:dyDescent="0.25">
      <c r="A471" s="7"/>
      <c r="B471" s="7"/>
      <c r="E471" s="21"/>
      <c r="K471" s="7"/>
      <c r="L471" s="7"/>
      <c r="M471" s="35"/>
    </row>
    <row r="472" spans="1:13" ht="15.75" hidden="1" customHeight="1" x14ac:dyDescent="0.25">
      <c r="A472" s="7"/>
      <c r="B472" s="7"/>
      <c r="E472" s="21"/>
      <c r="K472" s="7"/>
      <c r="L472" s="7"/>
      <c r="M472" s="35"/>
    </row>
    <row r="473" spans="1:13" ht="15.75" hidden="1" customHeight="1" x14ac:dyDescent="0.25">
      <c r="A473" s="7"/>
      <c r="B473" s="7"/>
      <c r="E473" s="21"/>
      <c r="K473" s="7"/>
      <c r="L473" s="7"/>
      <c r="M473" s="35"/>
    </row>
    <row r="474" spans="1:13" ht="15.75" hidden="1" customHeight="1" x14ac:dyDescent="0.25">
      <c r="A474" s="7"/>
      <c r="B474" s="7"/>
      <c r="E474" s="21"/>
      <c r="K474" s="7"/>
      <c r="L474" s="7"/>
      <c r="M474" s="35"/>
    </row>
    <row r="475" spans="1:13" ht="15.75" hidden="1" customHeight="1" x14ac:dyDescent="0.25">
      <c r="A475" s="7"/>
      <c r="B475" s="7"/>
      <c r="E475" s="21"/>
      <c r="K475" s="7"/>
      <c r="L475" s="7"/>
      <c r="M475" s="35"/>
    </row>
    <row r="476" spans="1:13" ht="15.75" hidden="1" customHeight="1" x14ac:dyDescent="0.25">
      <c r="A476" s="7"/>
      <c r="B476" s="7"/>
      <c r="E476" s="21"/>
      <c r="K476" s="7"/>
      <c r="L476" s="7"/>
      <c r="M476" s="35"/>
    </row>
    <row r="477" spans="1:13" ht="15.75" hidden="1" customHeight="1" x14ac:dyDescent="0.25">
      <c r="A477" s="7"/>
      <c r="B477" s="7"/>
      <c r="E477" s="21"/>
      <c r="K477" s="7"/>
      <c r="L477" s="7"/>
      <c r="M477" s="35"/>
    </row>
    <row r="478" spans="1:13" ht="15.75" hidden="1" customHeight="1" x14ac:dyDescent="0.25">
      <c r="A478" s="7"/>
      <c r="B478" s="7"/>
      <c r="E478" s="21"/>
      <c r="K478" s="7"/>
      <c r="L478" s="7"/>
      <c r="M478" s="35"/>
    </row>
    <row r="479" spans="1:13" ht="15.75" hidden="1" customHeight="1" x14ac:dyDescent="0.25">
      <c r="A479" s="7"/>
      <c r="B479" s="7"/>
      <c r="E479" s="21"/>
      <c r="K479" s="7"/>
      <c r="L479" s="7"/>
      <c r="M479" s="35"/>
    </row>
    <row r="480" spans="1:13" ht="15.75" hidden="1" customHeight="1" x14ac:dyDescent="0.25">
      <c r="A480" s="7"/>
      <c r="B480" s="7"/>
      <c r="E480" s="21"/>
      <c r="K480" s="7"/>
      <c r="L480" s="7"/>
      <c r="M480" s="35"/>
    </row>
    <row r="481" spans="1:13" ht="15.75" hidden="1" customHeight="1" x14ac:dyDescent="0.25">
      <c r="A481" s="7"/>
      <c r="B481" s="7"/>
      <c r="E481" s="21"/>
      <c r="K481" s="7"/>
      <c r="L481" s="7"/>
      <c r="M481" s="35"/>
    </row>
    <row r="482" spans="1:13" ht="15.75" hidden="1" customHeight="1" x14ac:dyDescent="0.25">
      <c r="A482" s="7"/>
      <c r="B482" s="7"/>
      <c r="E482" s="21"/>
      <c r="K482" s="7"/>
      <c r="L482" s="7"/>
      <c r="M482" s="35"/>
    </row>
    <row r="483" spans="1:13" ht="15.75" hidden="1" customHeight="1" x14ac:dyDescent="0.25">
      <c r="A483" s="7"/>
      <c r="B483" s="7"/>
      <c r="E483" s="21"/>
      <c r="K483" s="7"/>
      <c r="L483" s="7"/>
      <c r="M483" s="35"/>
    </row>
    <row r="484" spans="1:13" ht="15.75" hidden="1" customHeight="1" x14ac:dyDescent="0.25">
      <c r="A484" s="7"/>
      <c r="B484" s="7"/>
      <c r="E484" s="21"/>
      <c r="K484" s="7"/>
      <c r="L484" s="7"/>
      <c r="M484" s="35"/>
    </row>
    <row r="485" spans="1:13" ht="15.75" hidden="1" customHeight="1" x14ac:dyDescent="0.25">
      <c r="A485" s="7"/>
      <c r="B485" s="7"/>
      <c r="E485" s="21"/>
      <c r="K485" s="7"/>
      <c r="L485" s="7"/>
      <c r="M485" s="35"/>
    </row>
    <row r="486" spans="1:13" ht="15.75" hidden="1" customHeight="1" x14ac:dyDescent="0.25">
      <c r="A486" s="7"/>
      <c r="B486" s="7"/>
      <c r="E486" s="21"/>
      <c r="K486" s="7"/>
      <c r="L486" s="7"/>
      <c r="M486" s="35"/>
    </row>
    <row r="487" spans="1:13" ht="15.75" hidden="1" customHeight="1" x14ac:dyDescent="0.25">
      <c r="A487" s="7"/>
      <c r="B487" s="7"/>
      <c r="E487" s="21"/>
      <c r="K487" s="7"/>
      <c r="L487" s="7"/>
      <c r="M487" s="35"/>
    </row>
    <row r="488" spans="1:13" ht="15.75" hidden="1" customHeight="1" x14ac:dyDescent="0.25">
      <c r="A488" s="7"/>
      <c r="B488" s="7"/>
      <c r="E488" s="21"/>
      <c r="K488" s="7"/>
      <c r="L488" s="7"/>
      <c r="M488" s="35"/>
    </row>
    <row r="489" spans="1:13" ht="15.75" hidden="1" customHeight="1" x14ac:dyDescent="0.25">
      <c r="A489" s="7"/>
      <c r="B489" s="7"/>
      <c r="E489" s="21"/>
      <c r="K489" s="7"/>
      <c r="L489" s="7"/>
      <c r="M489" s="35"/>
    </row>
    <row r="490" spans="1:13" ht="15.75" hidden="1" customHeight="1" x14ac:dyDescent="0.25">
      <c r="A490" s="7"/>
      <c r="B490" s="7"/>
      <c r="E490" s="21"/>
      <c r="K490" s="7"/>
      <c r="L490" s="7"/>
      <c r="M490" s="35"/>
    </row>
    <row r="491" spans="1:13" ht="15.75" hidden="1" customHeight="1" x14ac:dyDescent="0.25">
      <c r="A491" s="7"/>
      <c r="B491" s="7"/>
      <c r="E491" s="21"/>
      <c r="K491" s="7"/>
      <c r="L491" s="7"/>
      <c r="M491" s="35"/>
    </row>
    <row r="492" spans="1:13" ht="15.75" hidden="1" customHeight="1" x14ac:dyDescent="0.25">
      <c r="A492" s="7"/>
      <c r="B492" s="7"/>
      <c r="E492" s="21"/>
      <c r="K492" s="7"/>
      <c r="L492" s="7"/>
      <c r="M492" s="35"/>
    </row>
    <row r="493" spans="1:13" ht="15.75" hidden="1" customHeight="1" x14ac:dyDescent="0.25">
      <c r="A493" s="7"/>
      <c r="B493" s="7"/>
      <c r="E493" s="21"/>
      <c r="K493" s="7"/>
      <c r="L493" s="7"/>
      <c r="M493" s="35"/>
    </row>
    <row r="494" spans="1:13" ht="15.75" hidden="1" customHeight="1" x14ac:dyDescent="0.25">
      <c r="A494" s="7"/>
      <c r="B494" s="7"/>
      <c r="E494" s="21"/>
      <c r="K494" s="7"/>
      <c r="L494" s="7"/>
      <c r="M494" s="35"/>
    </row>
    <row r="495" spans="1:13" ht="15.75" hidden="1" customHeight="1" x14ac:dyDescent="0.25">
      <c r="A495" s="7"/>
      <c r="B495" s="7"/>
      <c r="E495" s="21"/>
      <c r="K495" s="7"/>
      <c r="L495" s="7"/>
      <c r="M495" s="35"/>
    </row>
    <row r="496" spans="1:13" ht="15.75" hidden="1" customHeight="1" x14ac:dyDescent="0.25">
      <c r="A496" s="7"/>
      <c r="B496" s="7"/>
      <c r="E496" s="21"/>
      <c r="K496" s="7"/>
      <c r="L496" s="7"/>
      <c r="M496" s="35"/>
    </row>
    <row r="497" spans="1:13" ht="15.75" hidden="1" customHeight="1" x14ac:dyDescent="0.25">
      <c r="A497" s="7"/>
      <c r="B497" s="7"/>
      <c r="E497" s="21"/>
      <c r="K497" s="7"/>
      <c r="L497" s="7"/>
      <c r="M497" s="35"/>
    </row>
    <row r="498" spans="1:13" ht="15.75" hidden="1" customHeight="1" x14ac:dyDescent="0.25">
      <c r="A498" s="7"/>
      <c r="B498" s="7"/>
      <c r="E498" s="21"/>
      <c r="K498" s="7"/>
      <c r="L498" s="7"/>
      <c r="M498" s="35"/>
    </row>
    <row r="499" spans="1:13" ht="15.75" hidden="1" customHeight="1" x14ac:dyDescent="0.25">
      <c r="A499" s="7"/>
      <c r="B499" s="7"/>
      <c r="E499" s="21"/>
      <c r="K499" s="7"/>
      <c r="L499" s="7"/>
      <c r="M499" s="35"/>
    </row>
    <row r="500" spans="1:13" ht="15.75" hidden="1" customHeight="1" x14ac:dyDescent="0.25">
      <c r="A500" s="7"/>
      <c r="B500" s="7"/>
      <c r="E500" s="21"/>
      <c r="K500" s="7"/>
      <c r="L500" s="7"/>
      <c r="M500" s="35"/>
    </row>
    <row r="501" spans="1:13" ht="15.75" hidden="1" customHeight="1" x14ac:dyDescent="0.25">
      <c r="A501" s="7"/>
      <c r="B501" s="7"/>
      <c r="E501" s="21"/>
      <c r="K501" s="7"/>
      <c r="L501" s="7"/>
      <c r="M501" s="35"/>
    </row>
    <row r="502" spans="1:13" ht="15.75" hidden="1" customHeight="1" x14ac:dyDescent="0.25">
      <c r="A502" s="7"/>
      <c r="B502" s="7"/>
      <c r="E502" s="21"/>
      <c r="K502" s="7"/>
      <c r="L502" s="7"/>
      <c r="M502" s="35"/>
    </row>
    <row r="503" spans="1:13" ht="15.75" hidden="1" customHeight="1" x14ac:dyDescent="0.25">
      <c r="A503" s="7"/>
      <c r="B503" s="7"/>
      <c r="E503" s="21"/>
      <c r="K503" s="7"/>
      <c r="L503" s="7"/>
      <c r="M503" s="35"/>
    </row>
    <row r="504" spans="1:13" ht="15.75" hidden="1" customHeight="1" x14ac:dyDescent="0.25">
      <c r="A504" s="7"/>
      <c r="B504" s="7"/>
      <c r="E504" s="21"/>
      <c r="K504" s="7"/>
      <c r="L504" s="7"/>
      <c r="M504" s="35"/>
    </row>
    <row r="505" spans="1:13" ht="15.75" hidden="1" customHeight="1" x14ac:dyDescent="0.25">
      <c r="A505" s="7"/>
      <c r="B505" s="7"/>
      <c r="E505" s="21"/>
      <c r="K505" s="7"/>
      <c r="L505" s="7"/>
      <c r="M505" s="35"/>
    </row>
    <row r="506" spans="1:13" ht="15.75" hidden="1" customHeight="1" x14ac:dyDescent="0.25">
      <c r="A506" s="7"/>
      <c r="B506" s="7"/>
      <c r="E506" s="21"/>
      <c r="K506" s="7"/>
      <c r="L506" s="7"/>
      <c r="M506" s="35"/>
    </row>
    <row r="507" spans="1:13" ht="15.75" hidden="1" customHeight="1" x14ac:dyDescent="0.25">
      <c r="A507" s="7"/>
      <c r="B507" s="7"/>
      <c r="E507" s="21"/>
      <c r="K507" s="7"/>
      <c r="L507" s="7"/>
      <c r="M507" s="35"/>
    </row>
    <row r="508" spans="1:13" ht="15.75" hidden="1" customHeight="1" x14ac:dyDescent="0.25">
      <c r="A508" s="7"/>
      <c r="B508" s="7"/>
      <c r="E508" s="21"/>
      <c r="K508" s="7"/>
      <c r="L508" s="7"/>
      <c r="M508" s="35"/>
    </row>
    <row r="509" spans="1:13" ht="15.75" hidden="1" customHeight="1" x14ac:dyDescent="0.25">
      <c r="A509" s="7"/>
      <c r="B509" s="7"/>
      <c r="E509" s="21"/>
      <c r="K509" s="7"/>
      <c r="L509" s="7"/>
      <c r="M509" s="35"/>
    </row>
    <row r="510" spans="1:13" ht="15.75" hidden="1" customHeight="1" x14ac:dyDescent="0.25">
      <c r="A510" s="7"/>
      <c r="B510" s="7"/>
      <c r="E510" s="21"/>
      <c r="K510" s="7"/>
      <c r="L510" s="7"/>
      <c r="M510" s="35"/>
    </row>
    <row r="511" spans="1:13" ht="15.75" hidden="1" customHeight="1" x14ac:dyDescent="0.25">
      <c r="A511" s="7"/>
      <c r="B511" s="7"/>
      <c r="E511" s="21"/>
      <c r="K511" s="7"/>
      <c r="L511" s="7"/>
      <c r="M511" s="35"/>
    </row>
    <row r="512" spans="1:13" ht="15.75" hidden="1" customHeight="1" x14ac:dyDescent="0.25">
      <c r="A512" s="7"/>
      <c r="B512" s="7"/>
      <c r="E512" s="21"/>
      <c r="K512" s="7"/>
      <c r="L512" s="7"/>
      <c r="M512" s="35"/>
    </row>
    <row r="513" spans="1:13" ht="15.75" hidden="1" customHeight="1" x14ac:dyDescent="0.25">
      <c r="A513" s="7"/>
      <c r="B513" s="7"/>
      <c r="E513" s="21"/>
      <c r="K513" s="7"/>
      <c r="L513" s="7"/>
      <c r="M513" s="35"/>
    </row>
    <row r="514" spans="1:13" ht="15.75" hidden="1" customHeight="1" x14ac:dyDescent="0.25">
      <c r="A514" s="7"/>
      <c r="B514" s="7"/>
      <c r="E514" s="21"/>
      <c r="K514" s="7"/>
      <c r="L514" s="7"/>
      <c r="M514" s="35"/>
    </row>
    <row r="515" spans="1:13" ht="15.75" hidden="1" customHeight="1" x14ac:dyDescent="0.25">
      <c r="A515" s="7"/>
      <c r="B515" s="7"/>
      <c r="E515" s="21"/>
      <c r="K515" s="7"/>
      <c r="L515" s="7"/>
      <c r="M515" s="35"/>
    </row>
    <row r="516" spans="1:13" ht="15.75" hidden="1" customHeight="1" x14ac:dyDescent="0.25">
      <c r="A516" s="7"/>
      <c r="B516" s="7"/>
      <c r="E516" s="21"/>
      <c r="K516" s="7"/>
      <c r="L516" s="7"/>
      <c r="M516" s="35"/>
    </row>
    <row r="517" spans="1:13" ht="15.75" hidden="1" customHeight="1" x14ac:dyDescent="0.25">
      <c r="A517" s="7"/>
      <c r="B517" s="7"/>
      <c r="E517" s="21"/>
      <c r="K517" s="7"/>
      <c r="L517" s="7"/>
      <c r="M517" s="35"/>
    </row>
    <row r="518" spans="1:13" ht="15.75" hidden="1" customHeight="1" x14ac:dyDescent="0.25">
      <c r="A518" s="7"/>
      <c r="B518" s="7"/>
      <c r="E518" s="21"/>
      <c r="K518" s="7"/>
      <c r="L518" s="7"/>
      <c r="M518" s="35"/>
    </row>
    <row r="519" spans="1:13" ht="15.75" hidden="1" customHeight="1" x14ac:dyDescent="0.25">
      <c r="A519" s="7"/>
      <c r="B519" s="7"/>
      <c r="E519" s="21"/>
      <c r="K519" s="7"/>
      <c r="L519" s="7"/>
      <c r="M519" s="35"/>
    </row>
    <row r="520" spans="1:13" ht="15.75" hidden="1" customHeight="1" x14ac:dyDescent="0.25">
      <c r="A520" s="7"/>
      <c r="B520" s="7"/>
      <c r="E520" s="21"/>
      <c r="K520" s="7"/>
      <c r="L520" s="7"/>
      <c r="M520" s="35"/>
    </row>
    <row r="521" spans="1:13" ht="15.75" hidden="1" customHeight="1" x14ac:dyDescent="0.25">
      <c r="A521" s="7"/>
      <c r="B521" s="7"/>
      <c r="E521" s="21"/>
      <c r="K521" s="7"/>
      <c r="L521" s="7"/>
      <c r="M521" s="35"/>
    </row>
    <row r="522" spans="1:13" ht="15.75" hidden="1" customHeight="1" x14ac:dyDescent="0.25">
      <c r="A522" s="7"/>
      <c r="B522" s="7"/>
      <c r="E522" s="21"/>
      <c r="K522" s="7"/>
      <c r="L522" s="7"/>
      <c r="M522" s="35"/>
    </row>
    <row r="523" spans="1:13" ht="15.75" hidden="1" customHeight="1" x14ac:dyDescent="0.25">
      <c r="A523" s="7"/>
      <c r="B523" s="7"/>
      <c r="E523" s="21"/>
      <c r="K523" s="7"/>
      <c r="L523" s="7"/>
      <c r="M523" s="35"/>
    </row>
    <row r="524" spans="1:13" ht="15.75" hidden="1" customHeight="1" x14ac:dyDescent="0.25">
      <c r="A524" s="7"/>
      <c r="B524" s="7"/>
      <c r="E524" s="21"/>
      <c r="K524" s="7"/>
      <c r="L524" s="7"/>
      <c r="M524" s="35"/>
    </row>
    <row r="525" spans="1:13" ht="15.75" hidden="1" customHeight="1" x14ac:dyDescent="0.25">
      <c r="A525" s="7"/>
      <c r="B525" s="7"/>
      <c r="E525" s="21"/>
      <c r="K525" s="7"/>
      <c r="L525" s="7"/>
      <c r="M525" s="35"/>
    </row>
    <row r="526" spans="1:13" ht="15.75" hidden="1" customHeight="1" x14ac:dyDescent="0.25">
      <c r="A526" s="7"/>
      <c r="B526" s="7"/>
      <c r="E526" s="21"/>
      <c r="K526" s="7"/>
      <c r="L526" s="7"/>
      <c r="M526" s="35"/>
    </row>
    <row r="527" spans="1:13" ht="15.75" hidden="1" customHeight="1" x14ac:dyDescent="0.25">
      <c r="A527" s="7"/>
      <c r="B527" s="7"/>
      <c r="E527" s="21"/>
      <c r="K527" s="7"/>
      <c r="L527" s="7"/>
      <c r="M527" s="35"/>
    </row>
    <row r="528" spans="1:13" ht="15.75" hidden="1" customHeight="1" x14ac:dyDescent="0.25">
      <c r="A528" s="7"/>
      <c r="B528" s="7"/>
      <c r="E528" s="21"/>
      <c r="K528" s="7"/>
      <c r="L528" s="7"/>
      <c r="M528" s="35"/>
    </row>
    <row r="529" spans="1:13" ht="15.75" hidden="1" customHeight="1" x14ac:dyDescent="0.25">
      <c r="A529" s="7"/>
      <c r="B529" s="7"/>
      <c r="E529" s="21"/>
      <c r="K529" s="7"/>
      <c r="L529" s="7"/>
      <c r="M529" s="35"/>
    </row>
    <row r="530" spans="1:13" ht="15.75" hidden="1" customHeight="1" x14ac:dyDescent="0.25">
      <c r="A530" s="7"/>
      <c r="B530" s="7"/>
      <c r="E530" s="21"/>
      <c r="K530" s="7"/>
      <c r="L530" s="7"/>
      <c r="M530" s="35"/>
    </row>
    <row r="531" spans="1:13" ht="15.75" hidden="1" customHeight="1" x14ac:dyDescent="0.25">
      <c r="A531" s="7"/>
      <c r="B531" s="7"/>
      <c r="E531" s="21"/>
      <c r="K531" s="7"/>
      <c r="L531" s="7"/>
      <c r="M531" s="35"/>
    </row>
    <row r="532" spans="1:13" ht="15.75" hidden="1" customHeight="1" x14ac:dyDescent="0.25">
      <c r="A532" s="7"/>
      <c r="B532" s="7"/>
      <c r="E532" s="21"/>
      <c r="K532" s="7"/>
      <c r="L532" s="7"/>
      <c r="M532" s="35"/>
    </row>
    <row r="533" spans="1:13" ht="15.75" hidden="1" customHeight="1" x14ac:dyDescent="0.25">
      <c r="A533" s="7"/>
      <c r="B533" s="7"/>
      <c r="E533" s="21"/>
      <c r="K533" s="7"/>
      <c r="L533" s="7"/>
      <c r="M533" s="35"/>
    </row>
    <row r="534" spans="1:13" ht="15.75" hidden="1" customHeight="1" x14ac:dyDescent="0.25">
      <c r="A534" s="7"/>
      <c r="B534" s="7"/>
      <c r="E534" s="21"/>
      <c r="K534" s="7"/>
      <c r="L534" s="7"/>
      <c r="M534" s="35"/>
    </row>
    <row r="535" spans="1:13" ht="15.75" hidden="1" customHeight="1" x14ac:dyDescent="0.25">
      <c r="A535" s="7"/>
      <c r="B535" s="7"/>
      <c r="E535" s="21"/>
      <c r="K535" s="7"/>
      <c r="L535" s="7"/>
      <c r="M535" s="35"/>
    </row>
    <row r="536" spans="1:13" ht="15.75" hidden="1" customHeight="1" x14ac:dyDescent="0.25">
      <c r="A536" s="7"/>
      <c r="B536" s="7"/>
      <c r="E536" s="21"/>
      <c r="K536" s="7"/>
      <c r="L536" s="7"/>
      <c r="M536" s="35"/>
    </row>
    <row r="537" spans="1:13" ht="15.75" hidden="1" customHeight="1" x14ac:dyDescent="0.25">
      <c r="A537" s="7"/>
      <c r="B537" s="7"/>
      <c r="E537" s="21"/>
      <c r="K537" s="7"/>
      <c r="L537" s="7"/>
      <c r="M537" s="35"/>
    </row>
    <row r="538" spans="1:13" ht="15.75" hidden="1" customHeight="1" x14ac:dyDescent="0.25">
      <c r="A538" s="7"/>
      <c r="B538" s="7"/>
      <c r="E538" s="21"/>
      <c r="K538" s="7"/>
      <c r="L538" s="7"/>
      <c r="M538" s="35"/>
    </row>
    <row r="539" spans="1:13" ht="15.75" hidden="1" customHeight="1" x14ac:dyDescent="0.25">
      <c r="A539" s="7"/>
      <c r="B539" s="7"/>
      <c r="E539" s="21"/>
      <c r="K539" s="7"/>
      <c r="L539" s="7"/>
      <c r="M539" s="35"/>
    </row>
    <row r="540" spans="1:13" ht="15.75" hidden="1" customHeight="1" x14ac:dyDescent="0.25">
      <c r="A540" s="7"/>
      <c r="B540" s="7"/>
      <c r="E540" s="21"/>
      <c r="K540" s="7"/>
      <c r="L540" s="7"/>
      <c r="M540" s="35"/>
    </row>
    <row r="541" spans="1:13" ht="15.75" hidden="1" customHeight="1" x14ac:dyDescent="0.25">
      <c r="A541" s="7"/>
      <c r="B541" s="7"/>
      <c r="E541" s="21"/>
      <c r="K541" s="7"/>
      <c r="L541" s="7"/>
      <c r="M541" s="35"/>
    </row>
    <row r="542" spans="1:13" ht="15.75" hidden="1" customHeight="1" x14ac:dyDescent="0.25">
      <c r="A542" s="7"/>
      <c r="B542" s="7"/>
      <c r="E542" s="21"/>
      <c r="K542" s="7"/>
      <c r="L542" s="7"/>
      <c r="M542" s="35"/>
    </row>
    <row r="543" spans="1:13" ht="15.75" hidden="1" customHeight="1" x14ac:dyDescent="0.25">
      <c r="A543" s="7"/>
      <c r="B543" s="7"/>
      <c r="E543" s="21"/>
      <c r="K543" s="7"/>
      <c r="L543" s="7"/>
      <c r="M543" s="35"/>
    </row>
    <row r="544" spans="1:13" ht="15.75" hidden="1" customHeight="1" x14ac:dyDescent="0.25">
      <c r="A544" s="7"/>
      <c r="B544" s="7"/>
      <c r="E544" s="21"/>
      <c r="K544" s="7"/>
      <c r="L544" s="7"/>
      <c r="M544" s="35"/>
    </row>
    <row r="545" spans="1:13" ht="15.75" hidden="1" customHeight="1" x14ac:dyDescent="0.25">
      <c r="A545" s="7"/>
      <c r="B545" s="7"/>
      <c r="E545" s="21"/>
      <c r="K545" s="7"/>
      <c r="L545" s="7"/>
      <c r="M545" s="35"/>
    </row>
    <row r="546" spans="1:13" ht="15.75" hidden="1" customHeight="1" x14ac:dyDescent="0.25">
      <c r="A546" s="7"/>
      <c r="B546" s="7"/>
      <c r="E546" s="21"/>
      <c r="K546" s="7"/>
      <c r="L546" s="7"/>
      <c r="M546" s="35"/>
    </row>
    <row r="547" spans="1:13" ht="15.75" hidden="1" customHeight="1" x14ac:dyDescent="0.25">
      <c r="A547" s="7"/>
      <c r="B547" s="7"/>
      <c r="E547" s="21"/>
      <c r="K547" s="7"/>
      <c r="L547" s="7"/>
      <c r="M547" s="35"/>
    </row>
    <row r="548" spans="1:13" ht="15.75" hidden="1" customHeight="1" x14ac:dyDescent="0.25">
      <c r="A548" s="7"/>
      <c r="B548" s="7"/>
      <c r="E548" s="21"/>
      <c r="K548" s="7"/>
      <c r="L548" s="7"/>
      <c r="M548" s="35"/>
    </row>
    <row r="549" spans="1:13" ht="15.75" hidden="1" customHeight="1" x14ac:dyDescent="0.25">
      <c r="A549" s="7"/>
      <c r="B549" s="7"/>
      <c r="E549" s="21"/>
      <c r="K549" s="7"/>
      <c r="L549" s="7"/>
      <c r="M549" s="35"/>
    </row>
    <row r="550" spans="1:13" ht="15.75" hidden="1" customHeight="1" x14ac:dyDescent="0.25">
      <c r="A550" s="7"/>
      <c r="B550" s="7"/>
      <c r="E550" s="21"/>
      <c r="K550" s="7"/>
      <c r="L550" s="7"/>
      <c r="M550" s="35"/>
    </row>
    <row r="551" spans="1:13" ht="15.75" hidden="1" customHeight="1" x14ac:dyDescent="0.25">
      <c r="A551" s="7"/>
      <c r="B551" s="7"/>
      <c r="E551" s="21"/>
      <c r="K551" s="7"/>
      <c r="L551" s="7"/>
      <c r="M551" s="35"/>
    </row>
    <row r="552" spans="1:13" ht="15.75" hidden="1" customHeight="1" x14ac:dyDescent="0.25">
      <c r="A552" s="7"/>
      <c r="B552" s="7"/>
      <c r="E552" s="21"/>
      <c r="K552" s="7"/>
      <c r="L552" s="7"/>
      <c r="M552" s="35"/>
    </row>
    <row r="553" spans="1:13" ht="15.75" hidden="1" customHeight="1" x14ac:dyDescent="0.25">
      <c r="A553" s="7"/>
      <c r="B553" s="7"/>
      <c r="E553" s="21"/>
      <c r="K553" s="7"/>
      <c r="L553" s="7"/>
      <c r="M553" s="35"/>
    </row>
    <row r="554" spans="1:13" ht="15.75" hidden="1" customHeight="1" x14ac:dyDescent="0.25">
      <c r="A554" s="7"/>
      <c r="B554" s="7"/>
      <c r="E554" s="21"/>
      <c r="K554" s="7"/>
      <c r="L554" s="7"/>
      <c r="M554" s="35"/>
    </row>
    <row r="555" spans="1:13" ht="15.75" hidden="1" customHeight="1" x14ac:dyDescent="0.25">
      <c r="A555" s="7"/>
      <c r="B555" s="7"/>
      <c r="E555" s="21"/>
      <c r="K555" s="7"/>
      <c r="L555" s="7"/>
      <c r="M555" s="35"/>
    </row>
    <row r="556" spans="1:13" ht="15.75" hidden="1" customHeight="1" x14ac:dyDescent="0.25">
      <c r="A556" s="7"/>
      <c r="B556" s="7"/>
      <c r="E556" s="21"/>
      <c r="K556" s="7"/>
      <c r="L556" s="7"/>
      <c r="M556" s="35"/>
    </row>
    <row r="557" spans="1:13" ht="15.75" hidden="1" customHeight="1" x14ac:dyDescent="0.25">
      <c r="A557" s="7"/>
      <c r="B557" s="7"/>
      <c r="E557" s="21"/>
      <c r="K557" s="7"/>
      <c r="L557" s="7"/>
      <c r="M557" s="35"/>
    </row>
    <row r="558" spans="1:13" ht="15.75" hidden="1" customHeight="1" x14ac:dyDescent="0.25">
      <c r="A558" s="7"/>
      <c r="B558" s="7"/>
      <c r="E558" s="21"/>
      <c r="K558" s="7"/>
      <c r="L558" s="7"/>
      <c r="M558" s="35"/>
    </row>
    <row r="559" spans="1:13" ht="15.75" hidden="1" customHeight="1" x14ac:dyDescent="0.25">
      <c r="A559" s="7"/>
      <c r="B559" s="7"/>
      <c r="E559" s="21"/>
      <c r="K559" s="7"/>
      <c r="L559" s="7"/>
      <c r="M559" s="35"/>
    </row>
    <row r="560" spans="1:13" ht="15.75" hidden="1" customHeight="1" x14ac:dyDescent="0.25">
      <c r="A560" s="7"/>
      <c r="B560" s="7"/>
      <c r="E560" s="21"/>
      <c r="K560" s="7"/>
      <c r="L560" s="7"/>
      <c r="M560" s="35"/>
    </row>
    <row r="561" spans="1:13" ht="15.75" hidden="1" customHeight="1" x14ac:dyDescent="0.25">
      <c r="A561" s="7"/>
      <c r="B561" s="7"/>
      <c r="E561" s="21"/>
      <c r="K561" s="7"/>
      <c r="L561" s="7"/>
      <c r="M561" s="35"/>
    </row>
    <row r="562" spans="1:13" ht="15.75" hidden="1" customHeight="1" x14ac:dyDescent="0.25">
      <c r="A562" s="7"/>
      <c r="B562" s="7"/>
      <c r="E562" s="21"/>
      <c r="K562" s="7"/>
      <c r="L562" s="7"/>
      <c r="M562" s="35"/>
    </row>
    <row r="563" spans="1:13" ht="15.75" hidden="1" customHeight="1" x14ac:dyDescent="0.25">
      <c r="A563" s="7"/>
      <c r="B563" s="7"/>
      <c r="E563" s="21"/>
      <c r="K563" s="7"/>
      <c r="L563" s="7"/>
      <c r="M563" s="35"/>
    </row>
    <row r="564" spans="1:13" ht="15.75" hidden="1" customHeight="1" x14ac:dyDescent="0.25">
      <c r="A564" s="7"/>
      <c r="B564" s="7"/>
      <c r="E564" s="21"/>
      <c r="K564" s="7"/>
      <c r="L564" s="7"/>
      <c r="M564" s="35"/>
    </row>
    <row r="565" spans="1:13" ht="15.75" hidden="1" customHeight="1" x14ac:dyDescent="0.25">
      <c r="A565" s="7"/>
      <c r="B565" s="7"/>
      <c r="E565" s="21"/>
      <c r="K565" s="7"/>
      <c r="L565" s="7"/>
      <c r="M565" s="35"/>
    </row>
    <row r="566" spans="1:13" ht="15.75" hidden="1" customHeight="1" x14ac:dyDescent="0.25">
      <c r="A566" s="7"/>
      <c r="B566" s="7"/>
      <c r="E566" s="21"/>
      <c r="K566" s="7"/>
      <c r="L566" s="7"/>
      <c r="M566" s="35"/>
    </row>
    <row r="567" spans="1:13" ht="15.75" hidden="1" customHeight="1" x14ac:dyDescent="0.25">
      <c r="A567" s="7"/>
      <c r="B567" s="7"/>
      <c r="E567" s="21"/>
      <c r="K567" s="7"/>
      <c r="L567" s="7"/>
      <c r="M567" s="35"/>
    </row>
    <row r="568" spans="1:13" ht="15.75" hidden="1" customHeight="1" x14ac:dyDescent="0.25">
      <c r="A568" s="7"/>
      <c r="B568" s="7"/>
      <c r="E568" s="21"/>
      <c r="K568" s="7"/>
      <c r="L568" s="7"/>
      <c r="M568" s="35"/>
    </row>
    <row r="569" spans="1:13" ht="15.75" hidden="1" customHeight="1" x14ac:dyDescent="0.25">
      <c r="A569" s="7"/>
      <c r="B569" s="7"/>
      <c r="E569" s="21"/>
      <c r="K569" s="7"/>
      <c r="L569" s="7"/>
      <c r="M569" s="35"/>
    </row>
    <row r="570" spans="1:13" ht="15.75" hidden="1" customHeight="1" x14ac:dyDescent="0.25">
      <c r="A570" s="7"/>
      <c r="B570" s="7"/>
      <c r="E570" s="21"/>
      <c r="K570" s="7"/>
      <c r="L570" s="7"/>
      <c r="M570" s="35"/>
    </row>
    <row r="571" spans="1:13" ht="15.75" hidden="1" customHeight="1" x14ac:dyDescent="0.25">
      <c r="A571" s="7"/>
      <c r="B571" s="7"/>
      <c r="E571" s="21"/>
      <c r="K571" s="7"/>
      <c r="L571" s="7"/>
      <c r="M571" s="35"/>
    </row>
    <row r="572" spans="1:13" ht="15.75" hidden="1" customHeight="1" x14ac:dyDescent="0.25">
      <c r="A572" s="7"/>
      <c r="B572" s="7"/>
      <c r="E572" s="21"/>
      <c r="K572" s="7"/>
      <c r="L572" s="7"/>
      <c r="M572" s="35"/>
    </row>
    <row r="573" spans="1:13" ht="15.75" hidden="1" customHeight="1" x14ac:dyDescent="0.25">
      <c r="A573" s="7"/>
      <c r="B573" s="7"/>
      <c r="E573" s="21"/>
      <c r="K573" s="7"/>
      <c r="L573" s="7"/>
      <c r="M573" s="35"/>
    </row>
    <row r="574" spans="1:13" ht="15.75" hidden="1" customHeight="1" x14ac:dyDescent="0.25">
      <c r="A574" s="7"/>
      <c r="B574" s="7"/>
      <c r="E574" s="21"/>
      <c r="K574" s="7"/>
      <c r="L574" s="7"/>
      <c r="M574" s="35"/>
    </row>
    <row r="575" spans="1:13" ht="15.75" hidden="1" customHeight="1" x14ac:dyDescent="0.25">
      <c r="A575" s="7"/>
      <c r="B575" s="7"/>
      <c r="E575" s="21"/>
      <c r="K575" s="7"/>
      <c r="L575" s="7"/>
      <c r="M575" s="35"/>
    </row>
    <row r="576" spans="1:13" ht="15.75" hidden="1" customHeight="1" x14ac:dyDescent="0.25">
      <c r="A576" s="7"/>
      <c r="B576" s="7"/>
      <c r="E576" s="21"/>
      <c r="K576" s="7"/>
      <c r="L576" s="7"/>
      <c r="M576" s="35"/>
    </row>
    <row r="577" spans="1:13" ht="15.75" hidden="1" customHeight="1" x14ac:dyDescent="0.25">
      <c r="A577" s="7"/>
      <c r="B577" s="7"/>
      <c r="E577" s="21"/>
      <c r="K577" s="7"/>
      <c r="L577" s="7"/>
      <c r="M577" s="35"/>
    </row>
    <row r="578" spans="1:13" ht="15.75" hidden="1" customHeight="1" x14ac:dyDescent="0.25">
      <c r="A578" s="7"/>
      <c r="B578" s="7"/>
      <c r="E578" s="21"/>
      <c r="K578" s="7"/>
      <c r="L578" s="7"/>
      <c r="M578" s="35"/>
    </row>
    <row r="579" spans="1:13" ht="15.75" hidden="1" customHeight="1" x14ac:dyDescent="0.25">
      <c r="A579" s="7"/>
      <c r="B579" s="7"/>
      <c r="E579" s="21"/>
      <c r="K579" s="7"/>
      <c r="L579" s="7"/>
      <c r="M579" s="35"/>
    </row>
    <row r="580" spans="1:13" ht="15.75" hidden="1" customHeight="1" x14ac:dyDescent="0.25">
      <c r="A580" s="7"/>
      <c r="B580" s="7"/>
      <c r="E580" s="21"/>
      <c r="K580" s="7"/>
      <c r="L580" s="7"/>
      <c r="M580" s="35"/>
    </row>
    <row r="581" spans="1:13" ht="15.75" hidden="1" customHeight="1" x14ac:dyDescent="0.25">
      <c r="A581" s="7"/>
      <c r="B581" s="7"/>
      <c r="E581" s="21"/>
      <c r="K581" s="7"/>
      <c r="L581" s="7"/>
      <c r="M581" s="35"/>
    </row>
    <row r="582" spans="1:13" ht="15.75" hidden="1" customHeight="1" x14ac:dyDescent="0.25">
      <c r="A582" s="7"/>
      <c r="B582" s="7"/>
      <c r="E582" s="21"/>
      <c r="K582" s="7"/>
      <c r="L582" s="7"/>
      <c r="M582" s="35"/>
    </row>
    <row r="583" spans="1:13" ht="15.75" hidden="1" customHeight="1" x14ac:dyDescent="0.25">
      <c r="A583" s="7"/>
      <c r="B583" s="7"/>
      <c r="E583" s="21"/>
      <c r="K583" s="7"/>
      <c r="L583" s="7"/>
      <c r="M583" s="35"/>
    </row>
    <row r="584" spans="1:13" ht="15.75" hidden="1" customHeight="1" x14ac:dyDescent="0.25">
      <c r="A584" s="7"/>
      <c r="B584" s="7"/>
      <c r="E584" s="21"/>
      <c r="K584" s="7"/>
      <c r="L584" s="7"/>
      <c r="M584" s="35"/>
    </row>
    <row r="585" spans="1:13" ht="15.75" hidden="1" customHeight="1" x14ac:dyDescent="0.25">
      <c r="A585" s="7"/>
      <c r="B585" s="7"/>
      <c r="E585" s="21"/>
      <c r="K585" s="7"/>
      <c r="L585" s="7"/>
      <c r="M585" s="35"/>
    </row>
    <row r="586" spans="1:13" ht="15.75" hidden="1" customHeight="1" x14ac:dyDescent="0.25">
      <c r="A586" s="7"/>
      <c r="B586" s="7"/>
      <c r="E586" s="21"/>
      <c r="K586" s="7"/>
      <c r="L586" s="7"/>
      <c r="M586" s="35"/>
    </row>
    <row r="587" spans="1:13" ht="15.75" hidden="1" customHeight="1" x14ac:dyDescent="0.25">
      <c r="A587" s="7"/>
      <c r="B587" s="7"/>
      <c r="E587" s="21"/>
      <c r="K587" s="7"/>
      <c r="L587" s="7"/>
      <c r="M587" s="35"/>
    </row>
    <row r="588" spans="1:13" ht="15.75" hidden="1" customHeight="1" x14ac:dyDescent="0.25">
      <c r="A588" s="7"/>
      <c r="B588" s="7"/>
      <c r="E588" s="21"/>
      <c r="K588" s="7"/>
      <c r="L588" s="7"/>
      <c r="M588" s="35"/>
    </row>
    <row r="589" spans="1:13" ht="15.75" hidden="1" customHeight="1" x14ac:dyDescent="0.25">
      <c r="A589" s="7"/>
      <c r="B589" s="7"/>
      <c r="E589" s="21"/>
      <c r="K589" s="7"/>
      <c r="L589" s="7"/>
      <c r="M589" s="35"/>
    </row>
    <row r="590" spans="1:13" ht="15.75" hidden="1" customHeight="1" x14ac:dyDescent="0.25">
      <c r="A590" s="7"/>
      <c r="B590" s="7"/>
      <c r="E590" s="21"/>
      <c r="K590" s="7"/>
      <c r="L590" s="7"/>
      <c r="M590" s="35"/>
    </row>
    <row r="591" spans="1:13" ht="15.75" hidden="1" customHeight="1" x14ac:dyDescent="0.25">
      <c r="A591" s="7"/>
      <c r="B591" s="7"/>
      <c r="E591" s="21"/>
      <c r="K591" s="7"/>
      <c r="L591" s="7"/>
      <c r="M591" s="35"/>
    </row>
    <row r="592" spans="1:13" ht="15.75" hidden="1" customHeight="1" x14ac:dyDescent="0.25">
      <c r="A592" s="7"/>
      <c r="B592" s="7"/>
      <c r="E592" s="21"/>
      <c r="K592" s="7"/>
      <c r="L592" s="7"/>
      <c r="M592" s="35"/>
    </row>
    <row r="593" spans="1:13" ht="15.75" hidden="1" customHeight="1" x14ac:dyDescent="0.25">
      <c r="A593" s="7"/>
      <c r="B593" s="7"/>
      <c r="E593" s="21"/>
      <c r="K593" s="7"/>
      <c r="L593" s="7"/>
      <c r="M593" s="35"/>
    </row>
    <row r="594" spans="1:13" ht="15.75" hidden="1" customHeight="1" x14ac:dyDescent="0.25">
      <c r="A594" s="7"/>
      <c r="B594" s="7"/>
      <c r="E594" s="21"/>
      <c r="K594" s="7"/>
      <c r="L594" s="7"/>
      <c r="M594" s="35"/>
    </row>
    <row r="595" spans="1:13" ht="15.75" hidden="1" customHeight="1" x14ac:dyDescent="0.25">
      <c r="A595" s="7"/>
      <c r="B595" s="7"/>
      <c r="E595" s="21"/>
      <c r="K595" s="7"/>
      <c r="L595" s="7"/>
      <c r="M595" s="35"/>
    </row>
    <row r="596" spans="1:13" ht="15.75" hidden="1" customHeight="1" x14ac:dyDescent="0.25">
      <c r="A596" s="7"/>
      <c r="B596" s="7"/>
      <c r="E596" s="21"/>
      <c r="K596" s="7"/>
      <c r="L596" s="7"/>
      <c r="M596" s="35"/>
    </row>
    <row r="597" spans="1:13" ht="15.75" hidden="1" customHeight="1" x14ac:dyDescent="0.25">
      <c r="A597" s="7"/>
      <c r="B597" s="7"/>
      <c r="E597" s="21"/>
      <c r="K597" s="7"/>
      <c r="L597" s="7"/>
      <c r="M597" s="35"/>
    </row>
    <row r="598" spans="1:13" ht="15.75" hidden="1" customHeight="1" x14ac:dyDescent="0.25">
      <c r="A598" s="7"/>
      <c r="B598" s="7"/>
      <c r="E598" s="21"/>
      <c r="K598" s="7"/>
      <c r="L598" s="7"/>
      <c r="M598" s="35"/>
    </row>
    <row r="599" spans="1:13" ht="15.75" hidden="1" customHeight="1" x14ac:dyDescent="0.25">
      <c r="A599" s="7"/>
      <c r="B599" s="7"/>
      <c r="E599" s="21"/>
      <c r="K599" s="7"/>
      <c r="L599" s="7"/>
      <c r="M599" s="35"/>
    </row>
    <row r="600" spans="1:13" ht="15.75" hidden="1" customHeight="1" x14ac:dyDescent="0.25">
      <c r="A600" s="7"/>
      <c r="B600" s="7"/>
      <c r="E600" s="21"/>
      <c r="K600" s="7"/>
      <c r="L600" s="7"/>
      <c r="M600" s="35"/>
    </row>
    <row r="601" spans="1:13" ht="15.75" hidden="1" customHeight="1" x14ac:dyDescent="0.25">
      <c r="A601" s="7"/>
      <c r="B601" s="7"/>
      <c r="E601" s="21"/>
      <c r="K601" s="7"/>
      <c r="L601" s="7"/>
      <c r="M601" s="35"/>
    </row>
    <row r="602" spans="1:13" ht="15.75" hidden="1" customHeight="1" x14ac:dyDescent="0.25">
      <c r="A602" s="7"/>
      <c r="B602" s="7"/>
      <c r="E602" s="21"/>
      <c r="K602" s="7"/>
      <c r="L602" s="7"/>
      <c r="M602" s="35"/>
    </row>
    <row r="603" spans="1:13" ht="15.75" hidden="1" customHeight="1" x14ac:dyDescent="0.25">
      <c r="A603" s="7"/>
      <c r="B603" s="7"/>
      <c r="E603" s="21"/>
      <c r="K603" s="7"/>
      <c r="L603" s="7"/>
      <c r="M603" s="35"/>
    </row>
    <row r="604" spans="1:13" ht="15.75" hidden="1" customHeight="1" x14ac:dyDescent="0.25">
      <c r="A604" s="7"/>
      <c r="B604" s="7"/>
      <c r="E604" s="21"/>
      <c r="K604" s="7"/>
      <c r="L604" s="7"/>
      <c r="M604" s="35"/>
    </row>
    <row r="605" spans="1:13" ht="15.75" hidden="1" customHeight="1" x14ac:dyDescent="0.25">
      <c r="A605" s="7"/>
      <c r="B605" s="7"/>
      <c r="E605" s="21"/>
      <c r="K605" s="7"/>
      <c r="L605" s="7"/>
      <c r="M605" s="35"/>
    </row>
    <row r="606" spans="1:13" ht="15.75" hidden="1" customHeight="1" x14ac:dyDescent="0.25">
      <c r="A606" s="7"/>
      <c r="B606" s="7"/>
      <c r="E606" s="21"/>
      <c r="K606" s="7"/>
      <c r="L606" s="7"/>
      <c r="M606" s="35"/>
    </row>
    <row r="607" spans="1:13" ht="15.75" hidden="1" customHeight="1" x14ac:dyDescent="0.25">
      <c r="A607" s="7"/>
      <c r="B607" s="7"/>
      <c r="E607" s="21"/>
      <c r="K607" s="7"/>
      <c r="L607" s="7"/>
      <c r="M607" s="35"/>
    </row>
    <row r="608" spans="1:13" ht="15.75" hidden="1" customHeight="1" x14ac:dyDescent="0.25">
      <c r="A608" s="7"/>
      <c r="B608" s="7"/>
      <c r="E608" s="21"/>
      <c r="K608" s="7"/>
      <c r="L608" s="7"/>
      <c r="M608" s="35"/>
    </row>
    <row r="609" spans="1:13" ht="15.75" hidden="1" customHeight="1" x14ac:dyDescent="0.25">
      <c r="A609" s="7"/>
      <c r="B609" s="7"/>
      <c r="E609" s="21"/>
      <c r="K609" s="7"/>
      <c r="L609" s="7"/>
      <c r="M609" s="35"/>
    </row>
    <row r="610" spans="1:13" ht="15.75" hidden="1" customHeight="1" x14ac:dyDescent="0.25">
      <c r="A610" s="7"/>
      <c r="B610" s="7"/>
      <c r="E610" s="21"/>
      <c r="K610" s="7"/>
      <c r="L610" s="7"/>
      <c r="M610" s="35"/>
    </row>
    <row r="611" spans="1:13" ht="15.75" hidden="1" customHeight="1" x14ac:dyDescent="0.25">
      <c r="A611" s="7"/>
      <c r="B611" s="7"/>
      <c r="E611" s="21"/>
      <c r="K611" s="7"/>
      <c r="L611" s="7"/>
      <c r="M611" s="35"/>
    </row>
    <row r="612" spans="1:13" ht="15.75" hidden="1" customHeight="1" x14ac:dyDescent="0.25">
      <c r="A612" s="7"/>
      <c r="B612" s="7"/>
      <c r="E612" s="21"/>
      <c r="K612" s="7"/>
      <c r="L612" s="7"/>
      <c r="M612" s="35"/>
    </row>
    <row r="613" spans="1:13" ht="15.75" hidden="1" customHeight="1" x14ac:dyDescent="0.25">
      <c r="A613" s="7"/>
      <c r="B613" s="7"/>
      <c r="E613" s="21"/>
      <c r="K613" s="7"/>
      <c r="L613" s="7"/>
      <c r="M613" s="35"/>
    </row>
    <row r="614" spans="1:13" ht="15.75" hidden="1" customHeight="1" x14ac:dyDescent="0.25">
      <c r="A614" s="7"/>
      <c r="B614" s="7"/>
      <c r="E614" s="21"/>
      <c r="K614" s="7"/>
      <c r="L614" s="7"/>
      <c r="M614" s="35"/>
    </row>
    <row r="615" spans="1:13" ht="15.75" hidden="1" customHeight="1" x14ac:dyDescent="0.25">
      <c r="A615" s="7"/>
      <c r="B615" s="7"/>
      <c r="E615" s="21"/>
      <c r="K615" s="7"/>
      <c r="L615" s="7"/>
      <c r="M615" s="35"/>
    </row>
    <row r="616" spans="1:13" ht="15.75" hidden="1" customHeight="1" x14ac:dyDescent="0.25">
      <c r="A616" s="7"/>
      <c r="B616" s="7"/>
      <c r="E616" s="21"/>
      <c r="K616" s="7"/>
      <c r="L616" s="7"/>
      <c r="M616" s="35"/>
    </row>
    <row r="617" spans="1:13" ht="15.75" hidden="1" customHeight="1" x14ac:dyDescent="0.25">
      <c r="A617" s="7"/>
      <c r="B617" s="7"/>
      <c r="E617" s="21"/>
      <c r="K617" s="7"/>
      <c r="L617" s="7"/>
      <c r="M617" s="35"/>
    </row>
    <row r="618" spans="1:13" ht="15.75" hidden="1" customHeight="1" x14ac:dyDescent="0.25">
      <c r="A618" s="7"/>
      <c r="B618" s="7"/>
      <c r="E618" s="21"/>
      <c r="K618" s="7"/>
      <c r="L618" s="7"/>
      <c r="M618" s="35"/>
    </row>
    <row r="619" spans="1:13" ht="15.75" hidden="1" customHeight="1" x14ac:dyDescent="0.25">
      <c r="A619" s="7"/>
      <c r="B619" s="7"/>
      <c r="E619" s="21"/>
      <c r="K619" s="7"/>
      <c r="L619" s="7"/>
      <c r="M619" s="35"/>
    </row>
    <row r="620" spans="1:13" ht="15.75" hidden="1" customHeight="1" x14ac:dyDescent="0.25">
      <c r="A620" s="7"/>
      <c r="B620" s="7"/>
      <c r="E620" s="21"/>
      <c r="K620" s="7"/>
      <c r="L620" s="7"/>
      <c r="M620" s="35"/>
    </row>
    <row r="621" spans="1:13" ht="15.75" hidden="1" customHeight="1" x14ac:dyDescent="0.25">
      <c r="A621" s="7"/>
      <c r="B621" s="7"/>
      <c r="E621" s="21"/>
      <c r="K621" s="7"/>
      <c r="L621" s="7"/>
      <c r="M621" s="35"/>
    </row>
    <row r="622" spans="1:13" ht="15.75" hidden="1" customHeight="1" x14ac:dyDescent="0.25">
      <c r="A622" s="7"/>
      <c r="B622" s="7"/>
      <c r="E622" s="21"/>
      <c r="K622" s="7"/>
      <c r="L622" s="7"/>
      <c r="M622" s="35"/>
    </row>
    <row r="623" spans="1:13" ht="15.75" hidden="1" customHeight="1" x14ac:dyDescent="0.25">
      <c r="A623" s="7"/>
      <c r="B623" s="7"/>
      <c r="E623" s="21"/>
      <c r="K623" s="7"/>
      <c r="L623" s="7"/>
      <c r="M623" s="35"/>
    </row>
    <row r="624" spans="1:13" ht="15.75" hidden="1" customHeight="1" x14ac:dyDescent="0.25">
      <c r="A624" s="7"/>
      <c r="B624" s="7"/>
      <c r="E624" s="21"/>
      <c r="K624" s="7"/>
      <c r="L624" s="7"/>
      <c r="M624" s="35"/>
    </row>
    <row r="625" spans="1:13" ht="15.75" hidden="1" customHeight="1" x14ac:dyDescent="0.25">
      <c r="A625" s="7"/>
      <c r="B625" s="7"/>
      <c r="E625" s="21"/>
      <c r="K625" s="7"/>
      <c r="L625" s="7"/>
      <c r="M625" s="35"/>
    </row>
    <row r="626" spans="1:13" ht="15.75" hidden="1" customHeight="1" x14ac:dyDescent="0.25">
      <c r="A626" s="7"/>
      <c r="B626" s="7"/>
      <c r="E626" s="21"/>
      <c r="K626" s="7"/>
      <c r="L626" s="7"/>
      <c r="M626" s="35"/>
    </row>
    <row r="627" spans="1:13" ht="15.75" hidden="1" customHeight="1" x14ac:dyDescent="0.25">
      <c r="A627" s="7"/>
      <c r="B627" s="7"/>
      <c r="E627" s="21"/>
      <c r="K627" s="7"/>
      <c r="L627" s="7"/>
      <c r="M627" s="35"/>
    </row>
    <row r="628" spans="1:13" ht="15.75" hidden="1" customHeight="1" x14ac:dyDescent="0.25">
      <c r="A628" s="7"/>
      <c r="B628" s="7"/>
      <c r="E628" s="21"/>
      <c r="K628" s="7"/>
      <c r="L628" s="7"/>
      <c r="M628" s="35"/>
    </row>
    <row r="629" spans="1:13" ht="15.75" hidden="1" customHeight="1" x14ac:dyDescent="0.25">
      <c r="A629" s="7"/>
      <c r="B629" s="7"/>
      <c r="E629" s="21"/>
      <c r="K629" s="7"/>
      <c r="L629" s="7"/>
      <c r="M629" s="35"/>
    </row>
    <row r="630" spans="1:13" ht="15.75" hidden="1" customHeight="1" x14ac:dyDescent="0.25">
      <c r="A630" s="7"/>
      <c r="B630" s="7"/>
      <c r="E630" s="21"/>
      <c r="K630" s="7"/>
      <c r="L630" s="7"/>
      <c r="M630" s="35"/>
    </row>
    <row r="631" spans="1:13" ht="15.75" hidden="1" customHeight="1" x14ac:dyDescent="0.25">
      <c r="A631" s="7"/>
      <c r="B631" s="7"/>
      <c r="E631" s="21"/>
      <c r="K631" s="7"/>
      <c r="L631" s="7"/>
      <c r="M631" s="35"/>
    </row>
    <row r="632" spans="1:13" ht="15.75" hidden="1" customHeight="1" x14ac:dyDescent="0.25">
      <c r="A632" s="7"/>
      <c r="B632" s="7"/>
      <c r="E632" s="21"/>
      <c r="K632" s="7"/>
      <c r="L632" s="7"/>
      <c r="M632" s="35"/>
    </row>
    <row r="633" spans="1:13" ht="15.75" hidden="1" customHeight="1" x14ac:dyDescent="0.25">
      <c r="A633" s="7"/>
      <c r="B633" s="7"/>
      <c r="E633" s="21"/>
      <c r="K633" s="7"/>
      <c r="L633" s="7"/>
      <c r="M633" s="35"/>
    </row>
    <row r="634" spans="1:13" ht="15.75" hidden="1" customHeight="1" x14ac:dyDescent="0.25">
      <c r="A634" s="7"/>
      <c r="B634" s="7"/>
      <c r="E634" s="21"/>
      <c r="K634" s="7"/>
      <c r="L634" s="7"/>
      <c r="M634" s="35"/>
    </row>
    <row r="635" spans="1:13" ht="15.75" hidden="1" customHeight="1" x14ac:dyDescent="0.25">
      <c r="A635" s="7"/>
      <c r="B635" s="7"/>
      <c r="E635" s="21"/>
      <c r="K635" s="7"/>
      <c r="L635" s="7"/>
      <c r="M635" s="35"/>
    </row>
    <row r="636" spans="1:13" ht="15.75" hidden="1" customHeight="1" x14ac:dyDescent="0.25">
      <c r="A636" s="7"/>
      <c r="B636" s="7"/>
      <c r="E636" s="21"/>
      <c r="K636" s="7"/>
      <c r="L636" s="7"/>
      <c r="M636" s="35"/>
    </row>
    <row r="637" spans="1:13" ht="15.75" hidden="1" customHeight="1" x14ac:dyDescent="0.25">
      <c r="A637" s="7"/>
      <c r="B637" s="7"/>
      <c r="E637" s="21"/>
      <c r="K637" s="7"/>
      <c r="L637" s="7"/>
      <c r="M637" s="35"/>
    </row>
    <row r="638" spans="1:13" ht="15.75" hidden="1" customHeight="1" x14ac:dyDescent="0.25">
      <c r="A638" s="7"/>
      <c r="B638" s="7"/>
      <c r="E638" s="21"/>
      <c r="K638" s="7"/>
      <c r="L638" s="7"/>
      <c r="M638" s="35"/>
    </row>
    <row r="639" spans="1:13" ht="15.75" hidden="1" customHeight="1" x14ac:dyDescent="0.25">
      <c r="A639" s="7"/>
      <c r="B639" s="7"/>
      <c r="E639" s="21"/>
      <c r="K639" s="7"/>
      <c r="L639" s="7"/>
      <c r="M639" s="35"/>
    </row>
    <row r="640" spans="1:13" ht="15.75" hidden="1" customHeight="1" x14ac:dyDescent="0.25">
      <c r="A640" s="7"/>
      <c r="B640" s="7"/>
      <c r="E640" s="21"/>
      <c r="K640" s="7"/>
      <c r="L640" s="7"/>
      <c r="M640" s="35"/>
    </row>
    <row r="641" spans="1:13" ht="15.75" hidden="1" customHeight="1" x14ac:dyDescent="0.25">
      <c r="A641" s="7"/>
      <c r="B641" s="7"/>
      <c r="E641" s="21"/>
      <c r="K641" s="7"/>
      <c r="L641" s="7"/>
      <c r="M641" s="35"/>
    </row>
    <row r="642" spans="1:13" ht="15.75" hidden="1" customHeight="1" x14ac:dyDescent="0.25">
      <c r="A642" s="7"/>
      <c r="B642" s="7"/>
      <c r="E642" s="21"/>
      <c r="K642" s="7"/>
      <c r="L642" s="7"/>
      <c r="M642" s="35"/>
    </row>
    <row r="643" spans="1:13" ht="15.75" hidden="1" customHeight="1" x14ac:dyDescent="0.25">
      <c r="A643" s="7"/>
      <c r="B643" s="7"/>
      <c r="E643" s="21"/>
      <c r="K643" s="7"/>
      <c r="L643" s="7"/>
      <c r="M643" s="35"/>
    </row>
    <row r="644" spans="1:13" ht="15.75" hidden="1" customHeight="1" x14ac:dyDescent="0.25">
      <c r="A644" s="7"/>
      <c r="B644" s="7"/>
      <c r="E644" s="21"/>
      <c r="K644" s="7"/>
      <c r="L644" s="7"/>
      <c r="M644" s="35"/>
    </row>
    <row r="645" spans="1:13" ht="15.75" hidden="1" customHeight="1" x14ac:dyDescent="0.25">
      <c r="A645" s="7"/>
      <c r="B645" s="7"/>
      <c r="E645" s="21"/>
      <c r="K645" s="7"/>
      <c r="L645" s="7"/>
      <c r="M645" s="35"/>
    </row>
    <row r="646" spans="1:13" ht="15.75" hidden="1" customHeight="1" x14ac:dyDescent="0.25">
      <c r="A646" s="7"/>
      <c r="B646" s="7"/>
      <c r="E646" s="21"/>
      <c r="K646" s="7"/>
      <c r="L646" s="7"/>
      <c r="M646" s="35"/>
    </row>
    <row r="647" spans="1:13" ht="15.75" hidden="1" customHeight="1" x14ac:dyDescent="0.25">
      <c r="A647" s="7"/>
      <c r="B647" s="7"/>
      <c r="E647" s="21"/>
      <c r="K647" s="7"/>
      <c r="L647" s="7"/>
      <c r="M647" s="35"/>
    </row>
    <row r="648" spans="1:13" ht="15.75" hidden="1" customHeight="1" x14ac:dyDescent="0.25">
      <c r="A648" s="7"/>
      <c r="B648" s="7"/>
      <c r="E648" s="21"/>
      <c r="K648" s="7"/>
      <c r="L648" s="7"/>
      <c r="M648" s="35"/>
    </row>
    <row r="649" spans="1:13" ht="15.75" hidden="1" customHeight="1" x14ac:dyDescent="0.25">
      <c r="A649" s="7"/>
      <c r="B649" s="7"/>
      <c r="E649" s="21"/>
      <c r="K649" s="7"/>
      <c r="L649" s="7"/>
      <c r="M649" s="35"/>
    </row>
    <row r="650" spans="1:13" ht="15.75" hidden="1" customHeight="1" x14ac:dyDescent="0.25">
      <c r="A650" s="7"/>
      <c r="B650" s="7"/>
      <c r="E650" s="21"/>
      <c r="K650" s="7"/>
      <c r="L650" s="7"/>
      <c r="M650" s="35"/>
    </row>
    <row r="651" spans="1:13" ht="15.75" hidden="1" customHeight="1" x14ac:dyDescent="0.25">
      <c r="A651" s="7"/>
      <c r="B651" s="7"/>
      <c r="E651" s="21"/>
      <c r="K651" s="7"/>
      <c r="L651" s="7"/>
      <c r="M651" s="35"/>
    </row>
    <row r="652" spans="1:13" ht="15.75" hidden="1" customHeight="1" x14ac:dyDescent="0.25">
      <c r="A652" s="7"/>
      <c r="B652" s="7"/>
      <c r="E652" s="21"/>
      <c r="K652" s="7"/>
      <c r="L652" s="7"/>
      <c r="M652" s="35"/>
    </row>
    <row r="653" spans="1:13" ht="15.75" hidden="1" customHeight="1" x14ac:dyDescent="0.25">
      <c r="A653" s="7"/>
      <c r="B653" s="7"/>
      <c r="E653" s="21"/>
      <c r="K653" s="7"/>
      <c r="L653" s="7"/>
      <c r="M653" s="35"/>
    </row>
    <row r="654" spans="1:13" ht="15.75" hidden="1" customHeight="1" x14ac:dyDescent="0.25">
      <c r="A654" s="7"/>
      <c r="B654" s="7"/>
      <c r="E654" s="21"/>
      <c r="K654" s="7"/>
      <c r="L654" s="7"/>
      <c r="M654" s="35"/>
    </row>
    <row r="655" spans="1:13" ht="15.75" hidden="1" customHeight="1" x14ac:dyDescent="0.25">
      <c r="A655" s="7"/>
      <c r="B655" s="7"/>
      <c r="E655" s="21"/>
      <c r="K655" s="7"/>
      <c r="L655" s="7"/>
      <c r="M655" s="35"/>
    </row>
    <row r="656" spans="1:13" ht="15.75" hidden="1" customHeight="1" x14ac:dyDescent="0.25">
      <c r="A656" s="7"/>
      <c r="B656" s="7"/>
      <c r="E656" s="21"/>
      <c r="K656" s="7"/>
      <c r="L656" s="7"/>
      <c r="M656" s="35"/>
    </row>
    <row r="657" spans="1:13" ht="15.75" hidden="1" customHeight="1" x14ac:dyDescent="0.25">
      <c r="A657" s="7"/>
      <c r="B657" s="7"/>
      <c r="E657" s="21"/>
      <c r="K657" s="7"/>
      <c r="L657" s="7"/>
      <c r="M657" s="35"/>
    </row>
    <row r="658" spans="1:13" ht="15.75" hidden="1" customHeight="1" x14ac:dyDescent="0.25">
      <c r="A658" s="7"/>
      <c r="B658" s="7"/>
      <c r="E658" s="21"/>
      <c r="K658" s="7"/>
      <c r="L658" s="7"/>
      <c r="M658" s="35"/>
    </row>
    <row r="659" spans="1:13" ht="15.75" hidden="1" customHeight="1" x14ac:dyDescent="0.25">
      <c r="A659" s="7"/>
      <c r="B659" s="7"/>
      <c r="E659" s="21"/>
      <c r="K659" s="7"/>
      <c r="L659" s="7"/>
      <c r="M659" s="35"/>
    </row>
    <row r="660" spans="1:13" ht="15.75" hidden="1" customHeight="1" x14ac:dyDescent="0.25">
      <c r="A660" s="7"/>
      <c r="B660" s="7"/>
      <c r="E660" s="21"/>
      <c r="K660" s="7"/>
      <c r="L660" s="7"/>
      <c r="M660" s="35"/>
    </row>
    <row r="661" spans="1:13" ht="15.75" hidden="1" customHeight="1" x14ac:dyDescent="0.25">
      <c r="A661" s="7"/>
      <c r="B661" s="7"/>
      <c r="E661" s="21"/>
      <c r="K661" s="7"/>
      <c r="L661" s="7"/>
      <c r="M661" s="35"/>
    </row>
    <row r="662" spans="1:13" ht="15.75" hidden="1" customHeight="1" x14ac:dyDescent="0.25">
      <c r="A662" s="7"/>
      <c r="B662" s="7"/>
      <c r="E662" s="21"/>
      <c r="K662" s="7"/>
      <c r="L662" s="7"/>
      <c r="M662" s="35"/>
    </row>
    <row r="663" spans="1:13" ht="15.75" hidden="1" customHeight="1" x14ac:dyDescent="0.25">
      <c r="A663" s="7"/>
      <c r="B663" s="7"/>
      <c r="E663" s="21"/>
      <c r="K663" s="7"/>
      <c r="L663" s="7"/>
      <c r="M663" s="35"/>
    </row>
    <row r="664" spans="1:13" ht="15.75" hidden="1" customHeight="1" x14ac:dyDescent="0.25">
      <c r="A664" s="7"/>
      <c r="B664" s="7"/>
      <c r="E664" s="21"/>
      <c r="K664" s="7"/>
      <c r="L664" s="7"/>
      <c r="M664" s="35"/>
    </row>
    <row r="665" spans="1:13" ht="15.75" hidden="1" customHeight="1" x14ac:dyDescent="0.25">
      <c r="A665" s="7"/>
      <c r="B665" s="7"/>
      <c r="E665" s="21"/>
      <c r="K665" s="7"/>
      <c r="L665" s="7"/>
      <c r="M665" s="35"/>
    </row>
    <row r="666" spans="1:13" ht="15.75" hidden="1" customHeight="1" x14ac:dyDescent="0.25">
      <c r="A666" s="7"/>
      <c r="B666" s="7"/>
      <c r="E666" s="21"/>
      <c r="K666" s="7"/>
      <c r="L666" s="7"/>
      <c r="M666" s="35"/>
    </row>
    <row r="667" spans="1:13" ht="15.75" hidden="1" customHeight="1" x14ac:dyDescent="0.25">
      <c r="A667" s="7"/>
      <c r="B667" s="7"/>
      <c r="E667" s="21"/>
      <c r="K667" s="7"/>
      <c r="L667" s="7"/>
      <c r="M667" s="35"/>
    </row>
    <row r="668" spans="1:13" ht="15.75" hidden="1" customHeight="1" x14ac:dyDescent="0.25">
      <c r="A668" s="7"/>
      <c r="B668" s="7"/>
      <c r="E668" s="21"/>
      <c r="K668" s="7"/>
      <c r="L668" s="7"/>
      <c r="M668" s="35"/>
    </row>
    <row r="669" spans="1:13" ht="15.75" hidden="1" customHeight="1" x14ac:dyDescent="0.25">
      <c r="A669" s="7"/>
      <c r="B669" s="7"/>
      <c r="E669" s="21"/>
      <c r="K669" s="7"/>
      <c r="L669" s="7"/>
      <c r="M669" s="35"/>
    </row>
    <row r="670" spans="1:13" ht="15.75" hidden="1" customHeight="1" x14ac:dyDescent="0.25">
      <c r="A670" s="7"/>
      <c r="B670" s="7"/>
      <c r="E670" s="21"/>
      <c r="K670" s="7"/>
      <c r="L670" s="7"/>
      <c r="M670" s="35"/>
    </row>
    <row r="671" spans="1:13" ht="15.75" hidden="1" customHeight="1" x14ac:dyDescent="0.25">
      <c r="A671" s="7"/>
      <c r="B671" s="7"/>
      <c r="E671" s="21"/>
      <c r="K671" s="7"/>
      <c r="L671" s="7"/>
      <c r="M671" s="35"/>
    </row>
    <row r="672" spans="1:13" ht="15.75" hidden="1" customHeight="1" x14ac:dyDescent="0.25">
      <c r="A672" s="7"/>
      <c r="B672" s="7"/>
      <c r="E672" s="21"/>
      <c r="K672" s="7"/>
      <c r="L672" s="7"/>
      <c r="M672" s="35"/>
    </row>
    <row r="673" spans="1:13" ht="15.75" hidden="1" customHeight="1" x14ac:dyDescent="0.25">
      <c r="A673" s="7"/>
      <c r="B673" s="7"/>
      <c r="E673" s="21"/>
      <c r="K673" s="7"/>
      <c r="L673" s="7"/>
      <c r="M673" s="35"/>
    </row>
    <row r="674" spans="1:13" ht="15.75" hidden="1" customHeight="1" x14ac:dyDescent="0.25">
      <c r="A674" s="7"/>
      <c r="B674" s="7"/>
      <c r="E674" s="21"/>
      <c r="K674" s="7"/>
      <c r="L674" s="7"/>
      <c r="M674" s="35"/>
    </row>
    <row r="675" spans="1:13" ht="15.75" hidden="1" customHeight="1" x14ac:dyDescent="0.25">
      <c r="A675" s="7"/>
      <c r="B675" s="7"/>
      <c r="E675" s="21"/>
      <c r="K675" s="7"/>
      <c r="L675" s="7"/>
      <c r="M675" s="35"/>
    </row>
    <row r="676" spans="1:13" ht="15.75" hidden="1" customHeight="1" x14ac:dyDescent="0.25">
      <c r="A676" s="7"/>
      <c r="B676" s="7"/>
      <c r="E676" s="21"/>
      <c r="K676" s="7"/>
      <c r="L676" s="7"/>
      <c r="M676" s="35"/>
    </row>
    <row r="677" spans="1:13" ht="15.75" hidden="1" customHeight="1" x14ac:dyDescent="0.25">
      <c r="A677" s="7"/>
      <c r="B677" s="7"/>
      <c r="E677" s="21"/>
      <c r="K677" s="7"/>
      <c r="L677" s="7"/>
      <c r="M677" s="35"/>
    </row>
    <row r="678" spans="1:13" ht="15.75" hidden="1" customHeight="1" x14ac:dyDescent="0.25">
      <c r="A678" s="7"/>
      <c r="B678" s="7"/>
      <c r="E678" s="21"/>
      <c r="K678" s="7"/>
      <c r="L678" s="7"/>
      <c r="M678" s="35"/>
    </row>
    <row r="679" spans="1:13" ht="15.75" hidden="1" customHeight="1" x14ac:dyDescent="0.25">
      <c r="A679" s="7"/>
      <c r="B679" s="7"/>
      <c r="E679" s="21"/>
      <c r="K679" s="7"/>
      <c r="L679" s="7"/>
      <c r="M679" s="35"/>
    </row>
    <row r="680" spans="1:13" ht="15.75" hidden="1" customHeight="1" x14ac:dyDescent="0.25">
      <c r="A680" s="7"/>
      <c r="B680" s="7"/>
      <c r="E680" s="21"/>
      <c r="K680" s="7"/>
      <c r="L680" s="7"/>
      <c r="M680" s="35"/>
    </row>
    <row r="681" spans="1:13" ht="15.75" hidden="1" customHeight="1" x14ac:dyDescent="0.25">
      <c r="A681" s="7"/>
      <c r="B681" s="7"/>
      <c r="E681" s="21"/>
      <c r="K681" s="7"/>
      <c r="L681" s="7"/>
      <c r="M681" s="35"/>
    </row>
    <row r="682" spans="1:13" ht="15.75" hidden="1" customHeight="1" x14ac:dyDescent="0.25">
      <c r="A682" s="7"/>
      <c r="B682" s="7"/>
      <c r="E682" s="21"/>
      <c r="K682" s="7"/>
      <c r="L682" s="7"/>
      <c r="M682" s="35"/>
    </row>
    <row r="683" spans="1:13" ht="15.75" hidden="1" customHeight="1" x14ac:dyDescent="0.25">
      <c r="A683" s="7"/>
      <c r="B683" s="7"/>
      <c r="E683" s="21"/>
      <c r="K683" s="7"/>
      <c r="L683" s="7"/>
      <c r="M683" s="35"/>
    </row>
    <row r="684" spans="1:13" ht="15.75" hidden="1" customHeight="1" x14ac:dyDescent="0.25">
      <c r="A684" s="7"/>
      <c r="B684" s="7"/>
      <c r="E684" s="21"/>
      <c r="K684" s="7"/>
      <c r="L684" s="7"/>
      <c r="M684" s="35"/>
    </row>
    <row r="685" spans="1:13" ht="15.75" hidden="1" customHeight="1" x14ac:dyDescent="0.25">
      <c r="A685" s="7"/>
      <c r="B685" s="7"/>
      <c r="E685" s="21"/>
      <c r="K685" s="7"/>
      <c r="L685" s="7"/>
      <c r="M685" s="35"/>
    </row>
    <row r="686" spans="1:13" ht="15.75" hidden="1" customHeight="1" x14ac:dyDescent="0.25">
      <c r="A686" s="7"/>
      <c r="B686" s="7"/>
      <c r="E686" s="21"/>
      <c r="K686" s="7"/>
      <c r="L686" s="7"/>
      <c r="M686" s="35"/>
    </row>
    <row r="687" spans="1:13" ht="15.75" hidden="1" customHeight="1" x14ac:dyDescent="0.25">
      <c r="A687" s="7"/>
      <c r="B687" s="7"/>
      <c r="E687" s="21"/>
      <c r="K687" s="7"/>
      <c r="L687" s="7"/>
      <c r="M687" s="35"/>
    </row>
    <row r="688" spans="1:13" ht="15.75" hidden="1" customHeight="1" x14ac:dyDescent="0.25">
      <c r="A688" s="7"/>
      <c r="B688" s="7"/>
      <c r="E688" s="21"/>
      <c r="K688" s="7"/>
      <c r="L688" s="7"/>
      <c r="M688" s="35"/>
    </row>
    <row r="689" spans="1:13" ht="15.75" hidden="1" customHeight="1" x14ac:dyDescent="0.25">
      <c r="A689" s="7"/>
      <c r="B689" s="7"/>
      <c r="E689" s="21"/>
      <c r="K689" s="7"/>
      <c r="L689" s="7"/>
      <c r="M689" s="35"/>
    </row>
    <row r="690" spans="1:13" ht="15.75" hidden="1" customHeight="1" x14ac:dyDescent="0.25">
      <c r="A690" s="7"/>
      <c r="B690" s="7"/>
      <c r="E690" s="21"/>
      <c r="K690" s="7"/>
      <c r="L690" s="7"/>
      <c r="M690" s="35"/>
    </row>
    <row r="691" spans="1:13" ht="15.75" hidden="1" customHeight="1" x14ac:dyDescent="0.25">
      <c r="A691" s="7"/>
      <c r="B691" s="7"/>
      <c r="E691" s="21"/>
      <c r="K691" s="7"/>
      <c r="L691" s="7"/>
      <c r="M691" s="35"/>
    </row>
    <row r="692" spans="1:13" ht="15.75" hidden="1" customHeight="1" x14ac:dyDescent="0.25">
      <c r="A692" s="7"/>
      <c r="B692" s="7"/>
      <c r="E692" s="21"/>
      <c r="K692" s="7"/>
      <c r="L692" s="7"/>
      <c r="M692" s="35"/>
    </row>
    <row r="693" spans="1:13" ht="15.75" hidden="1" customHeight="1" x14ac:dyDescent="0.25">
      <c r="A693" s="7"/>
      <c r="B693" s="7"/>
      <c r="E693" s="21"/>
      <c r="K693" s="7"/>
      <c r="L693" s="7"/>
      <c r="M693" s="35"/>
    </row>
    <row r="694" spans="1:13" ht="15.75" hidden="1" customHeight="1" x14ac:dyDescent="0.25">
      <c r="A694" s="7"/>
      <c r="B694" s="7"/>
      <c r="E694" s="21"/>
      <c r="K694" s="7"/>
      <c r="L694" s="7"/>
      <c r="M694" s="35"/>
    </row>
    <row r="695" spans="1:13" ht="15.75" hidden="1" customHeight="1" x14ac:dyDescent="0.25">
      <c r="A695" s="7"/>
      <c r="B695" s="7"/>
      <c r="E695" s="21"/>
      <c r="K695" s="7"/>
      <c r="L695" s="7"/>
      <c r="M695" s="35"/>
    </row>
    <row r="696" spans="1:13" ht="15.75" hidden="1" customHeight="1" x14ac:dyDescent="0.25">
      <c r="A696" s="7"/>
      <c r="B696" s="7"/>
      <c r="E696" s="21"/>
      <c r="K696" s="7"/>
      <c r="L696" s="7"/>
      <c r="M696" s="35"/>
    </row>
    <row r="697" spans="1:13" ht="15.75" hidden="1" customHeight="1" x14ac:dyDescent="0.25">
      <c r="A697" s="7"/>
      <c r="B697" s="7"/>
      <c r="E697" s="21"/>
      <c r="K697" s="7"/>
      <c r="L697" s="7"/>
      <c r="M697" s="35"/>
    </row>
    <row r="698" spans="1:13" ht="15.75" hidden="1" customHeight="1" x14ac:dyDescent="0.25">
      <c r="A698" s="7"/>
      <c r="B698" s="7"/>
      <c r="E698" s="21"/>
      <c r="K698" s="7"/>
      <c r="L698" s="7"/>
      <c r="M698" s="35"/>
    </row>
    <row r="699" spans="1:13" ht="15.75" hidden="1" customHeight="1" x14ac:dyDescent="0.25">
      <c r="A699" s="7"/>
      <c r="B699" s="7"/>
      <c r="E699" s="21"/>
      <c r="K699" s="7"/>
      <c r="L699" s="7"/>
      <c r="M699" s="35"/>
    </row>
    <row r="700" spans="1:13" ht="15.75" hidden="1" customHeight="1" x14ac:dyDescent="0.25">
      <c r="A700" s="7"/>
      <c r="B700" s="7"/>
      <c r="E700" s="21"/>
      <c r="K700" s="7"/>
      <c r="L700" s="7"/>
      <c r="M700" s="35"/>
    </row>
    <row r="701" spans="1:13" ht="15.75" hidden="1" customHeight="1" x14ac:dyDescent="0.25">
      <c r="A701" s="7"/>
      <c r="B701" s="7"/>
      <c r="E701" s="21"/>
      <c r="K701" s="7"/>
      <c r="L701" s="7"/>
      <c r="M701" s="35"/>
    </row>
    <row r="702" spans="1:13" ht="15.75" hidden="1" customHeight="1" x14ac:dyDescent="0.25">
      <c r="A702" s="7"/>
      <c r="B702" s="7"/>
      <c r="E702" s="21"/>
      <c r="K702" s="7"/>
      <c r="L702" s="7"/>
      <c r="M702" s="35"/>
    </row>
    <row r="703" spans="1:13" ht="15.75" hidden="1" customHeight="1" x14ac:dyDescent="0.25">
      <c r="A703" s="7"/>
      <c r="B703" s="7"/>
      <c r="E703" s="21"/>
      <c r="K703" s="7"/>
      <c r="L703" s="7"/>
      <c r="M703" s="35"/>
    </row>
    <row r="704" spans="1:13" ht="15.75" hidden="1" customHeight="1" x14ac:dyDescent="0.25">
      <c r="A704" s="7"/>
      <c r="B704" s="7"/>
      <c r="E704" s="21"/>
      <c r="K704" s="7"/>
      <c r="L704" s="7"/>
      <c r="M704" s="35"/>
    </row>
    <row r="705" spans="1:13" ht="15.75" hidden="1" customHeight="1" x14ac:dyDescent="0.25">
      <c r="A705" s="7"/>
      <c r="B705" s="7"/>
      <c r="E705" s="21"/>
      <c r="K705" s="7"/>
      <c r="L705" s="7"/>
      <c r="M705" s="35"/>
    </row>
    <row r="706" spans="1:13" ht="15.75" hidden="1" customHeight="1" x14ac:dyDescent="0.25">
      <c r="A706" s="7"/>
      <c r="B706" s="7"/>
      <c r="E706" s="21"/>
      <c r="K706" s="7"/>
      <c r="L706" s="7"/>
      <c r="M706" s="35"/>
    </row>
    <row r="707" spans="1:13" ht="15.75" hidden="1" customHeight="1" x14ac:dyDescent="0.25">
      <c r="A707" s="7"/>
      <c r="B707" s="7"/>
      <c r="E707" s="21"/>
      <c r="K707" s="7"/>
      <c r="L707" s="7"/>
      <c r="M707" s="35"/>
    </row>
    <row r="708" spans="1:13" ht="15.75" hidden="1" customHeight="1" x14ac:dyDescent="0.25">
      <c r="A708" s="7"/>
      <c r="B708" s="7"/>
      <c r="E708" s="21"/>
      <c r="K708" s="7"/>
      <c r="L708" s="7"/>
      <c r="M708" s="35"/>
    </row>
    <row r="709" spans="1:13" ht="15.75" hidden="1" customHeight="1" x14ac:dyDescent="0.25">
      <c r="A709" s="7"/>
      <c r="B709" s="7"/>
      <c r="E709" s="21"/>
      <c r="K709" s="7"/>
      <c r="L709" s="7"/>
      <c r="M709" s="35"/>
    </row>
    <row r="710" spans="1:13" ht="15.75" hidden="1" customHeight="1" x14ac:dyDescent="0.25">
      <c r="A710" s="7"/>
      <c r="B710" s="7"/>
      <c r="E710" s="21"/>
      <c r="K710" s="7"/>
      <c r="L710" s="7"/>
      <c r="M710" s="35"/>
    </row>
    <row r="711" spans="1:13" ht="15.75" hidden="1" customHeight="1" x14ac:dyDescent="0.25">
      <c r="A711" s="7"/>
      <c r="B711" s="7"/>
      <c r="E711" s="21"/>
      <c r="K711" s="7"/>
      <c r="L711" s="7"/>
      <c r="M711" s="35"/>
    </row>
    <row r="712" spans="1:13" ht="15.75" hidden="1" customHeight="1" x14ac:dyDescent="0.25">
      <c r="A712" s="7"/>
      <c r="B712" s="7"/>
      <c r="E712" s="21"/>
      <c r="K712" s="7"/>
      <c r="L712" s="7"/>
      <c r="M712" s="35"/>
    </row>
    <row r="713" spans="1:13" ht="15.75" hidden="1" customHeight="1" x14ac:dyDescent="0.25">
      <c r="A713" s="7"/>
      <c r="B713" s="7"/>
      <c r="E713" s="21"/>
      <c r="K713" s="7"/>
      <c r="L713" s="7"/>
      <c r="M713" s="35"/>
    </row>
    <row r="714" spans="1:13" ht="15.75" hidden="1" customHeight="1" x14ac:dyDescent="0.25">
      <c r="A714" s="7"/>
      <c r="B714" s="7"/>
      <c r="E714" s="21"/>
      <c r="K714" s="7"/>
      <c r="L714" s="7"/>
      <c r="M714" s="35"/>
    </row>
    <row r="715" spans="1:13" ht="15.75" hidden="1" customHeight="1" x14ac:dyDescent="0.25">
      <c r="A715" s="7"/>
      <c r="B715" s="7"/>
      <c r="E715" s="21"/>
      <c r="K715" s="7"/>
      <c r="L715" s="7"/>
      <c r="M715" s="35"/>
    </row>
    <row r="716" spans="1:13" ht="15.75" hidden="1" customHeight="1" x14ac:dyDescent="0.25">
      <c r="A716" s="7"/>
      <c r="B716" s="7"/>
      <c r="E716" s="21"/>
      <c r="K716" s="7"/>
      <c r="L716" s="7"/>
      <c r="M716" s="35"/>
    </row>
    <row r="717" spans="1:13" ht="15.75" hidden="1" customHeight="1" x14ac:dyDescent="0.25">
      <c r="A717" s="7"/>
      <c r="B717" s="7"/>
      <c r="E717" s="21"/>
      <c r="K717" s="7"/>
      <c r="L717" s="7"/>
      <c r="M717" s="35"/>
    </row>
    <row r="718" spans="1:13" ht="15.75" hidden="1" customHeight="1" x14ac:dyDescent="0.25">
      <c r="A718" s="7"/>
      <c r="B718" s="7"/>
      <c r="E718" s="21"/>
      <c r="K718" s="7"/>
      <c r="L718" s="7"/>
      <c r="M718" s="35"/>
    </row>
    <row r="719" spans="1:13" ht="15.75" hidden="1" customHeight="1" x14ac:dyDescent="0.25">
      <c r="A719" s="7"/>
      <c r="B719" s="7"/>
      <c r="E719" s="21"/>
      <c r="K719" s="7"/>
      <c r="L719" s="7"/>
      <c r="M719" s="35"/>
    </row>
    <row r="720" spans="1:13" ht="15.75" hidden="1" customHeight="1" x14ac:dyDescent="0.25">
      <c r="A720" s="7"/>
      <c r="B720" s="7"/>
      <c r="E720" s="21"/>
      <c r="K720" s="7"/>
      <c r="L720" s="7"/>
      <c r="M720" s="35"/>
    </row>
    <row r="721" spans="1:13" ht="15.75" hidden="1" customHeight="1" x14ac:dyDescent="0.25">
      <c r="A721" s="7"/>
      <c r="B721" s="7"/>
      <c r="E721" s="21"/>
      <c r="K721" s="7"/>
      <c r="L721" s="7"/>
      <c r="M721" s="35"/>
    </row>
    <row r="722" spans="1:13" ht="15.75" hidden="1" customHeight="1" x14ac:dyDescent="0.25">
      <c r="A722" s="7"/>
      <c r="B722" s="7"/>
      <c r="E722" s="21"/>
      <c r="K722" s="7"/>
      <c r="L722" s="7"/>
      <c r="M722" s="35"/>
    </row>
    <row r="723" spans="1:13" ht="15.75" hidden="1" customHeight="1" x14ac:dyDescent="0.25">
      <c r="A723" s="7"/>
      <c r="B723" s="7"/>
      <c r="E723" s="21"/>
      <c r="K723" s="7"/>
      <c r="L723" s="7"/>
      <c r="M723" s="35"/>
    </row>
    <row r="724" spans="1:13" ht="15.75" hidden="1" customHeight="1" x14ac:dyDescent="0.25">
      <c r="A724" s="7"/>
      <c r="B724" s="7"/>
      <c r="E724" s="21"/>
      <c r="K724" s="7"/>
      <c r="L724" s="7"/>
      <c r="M724" s="35"/>
    </row>
    <row r="725" spans="1:13" ht="15.75" hidden="1" customHeight="1" x14ac:dyDescent="0.25">
      <c r="A725" s="7"/>
      <c r="B725" s="7"/>
      <c r="E725" s="21"/>
      <c r="K725" s="7"/>
      <c r="L725" s="7"/>
      <c r="M725" s="35"/>
    </row>
    <row r="726" spans="1:13" ht="15.75" hidden="1" customHeight="1" x14ac:dyDescent="0.25">
      <c r="A726" s="7"/>
      <c r="B726" s="7"/>
      <c r="E726" s="21"/>
      <c r="K726" s="7"/>
      <c r="L726" s="7"/>
      <c r="M726" s="35"/>
    </row>
    <row r="727" spans="1:13" ht="15.75" hidden="1" customHeight="1" x14ac:dyDescent="0.25">
      <c r="A727" s="7"/>
      <c r="B727" s="7"/>
      <c r="E727" s="21"/>
      <c r="K727" s="7"/>
      <c r="L727" s="7"/>
      <c r="M727" s="35"/>
    </row>
    <row r="728" spans="1:13" ht="15.75" hidden="1" customHeight="1" x14ac:dyDescent="0.25">
      <c r="A728" s="7"/>
      <c r="B728" s="7"/>
      <c r="E728" s="21"/>
      <c r="K728" s="7"/>
      <c r="L728" s="7"/>
      <c r="M728" s="35"/>
    </row>
    <row r="729" spans="1:13" ht="15.75" hidden="1" customHeight="1" x14ac:dyDescent="0.25">
      <c r="A729" s="7"/>
      <c r="B729" s="7"/>
      <c r="E729" s="21"/>
      <c r="K729" s="7"/>
      <c r="L729" s="7"/>
      <c r="M729" s="35"/>
    </row>
    <row r="730" spans="1:13" ht="15.75" hidden="1" customHeight="1" x14ac:dyDescent="0.25">
      <c r="A730" s="7"/>
      <c r="B730" s="7"/>
      <c r="E730" s="21"/>
      <c r="K730" s="7"/>
      <c r="L730" s="7"/>
      <c r="M730" s="35"/>
    </row>
    <row r="731" spans="1:13" ht="15.75" hidden="1" customHeight="1" x14ac:dyDescent="0.25">
      <c r="A731" s="7"/>
      <c r="B731" s="7"/>
      <c r="E731" s="21"/>
      <c r="K731" s="7"/>
      <c r="L731" s="7"/>
      <c r="M731" s="35"/>
    </row>
    <row r="732" spans="1:13" ht="15.75" hidden="1" customHeight="1" x14ac:dyDescent="0.25">
      <c r="A732" s="7"/>
      <c r="B732" s="7"/>
      <c r="E732" s="21"/>
      <c r="K732" s="7"/>
      <c r="L732" s="7"/>
      <c r="M732" s="35"/>
    </row>
    <row r="733" spans="1:13" ht="15.75" hidden="1" customHeight="1" x14ac:dyDescent="0.25">
      <c r="A733" s="7"/>
      <c r="B733" s="7"/>
      <c r="E733" s="21"/>
      <c r="K733" s="7"/>
      <c r="L733" s="7"/>
      <c r="M733" s="35"/>
    </row>
    <row r="734" spans="1:13" ht="15.75" hidden="1" customHeight="1" x14ac:dyDescent="0.25">
      <c r="A734" s="7"/>
      <c r="B734" s="7"/>
      <c r="E734" s="21"/>
      <c r="K734" s="7"/>
      <c r="L734" s="7"/>
      <c r="M734" s="35"/>
    </row>
    <row r="735" spans="1:13" ht="15.75" hidden="1" customHeight="1" x14ac:dyDescent="0.25">
      <c r="A735" s="7"/>
      <c r="B735" s="7"/>
      <c r="E735" s="21"/>
      <c r="K735" s="7"/>
      <c r="L735" s="7"/>
      <c r="M735" s="35"/>
    </row>
    <row r="736" spans="1:13" ht="15.75" hidden="1" customHeight="1" x14ac:dyDescent="0.25">
      <c r="A736" s="7"/>
      <c r="B736" s="7"/>
      <c r="E736" s="21"/>
      <c r="K736" s="7"/>
      <c r="L736" s="7"/>
      <c r="M736" s="35"/>
    </row>
    <row r="737" spans="1:13" ht="15.75" hidden="1" customHeight="1" x14ac:dyDescent="0.25">
      <c r="A737" s="7"/>
      <c r="B737" s="7"/>
      <c r="E737" s="21"/>
      <c r="K737" s="7"/>
      <c r="L737" s="7"/>
      <c r="M737" s="35"/>
    </row>
    <row r="738" spans="1:13" ht="15.75" hidden="1" customHeight="1" x14ac:dyDescent="0.25">
      <c r="A738" s="7"/>
      <c r="B738" s="7"/>
      <c r="E738" s="21"/>
      <c r="K738" s="7"/>
      <c r="L738" s="7"/>
      <c r="M738" s="35"/>
    </row>
    <row r="739" spans="1:13" ht="15.75" hidden="1" customHeight="1" x14ac:dyDescent="0.25">
      <c r="A739" s="7"/>
      <c r="B739" s="7"/>
      <c r="E739" s="21"/>
      <c r="K739" s="7"/>
      <c r="L739" s="7"/>
      <c r="M739" s="35"/>
    </row>
    <row r="740" spans="1:13" ht="15.75" hidden="1" customHeight="1" x14ac:dyDescent="0.25">
      <c r="A740" s="7"/>
      <c r="B740" s="7"/>
      <c r="E740" s="21"/>
      <c r="K740" s="7"/>
      <c r="L740" s="7"/>
      <c r="M740" s="35"/>
    </row>
    <row r="741" spans="1:13" ht="15.75" hidden="1" customHeight="1" x14ac:dyDescent="0.25">
      <c r="A741" s="7"/>
      <c r="B741" s="7"/>
      <c r="E741" s="21"/>
      <c r="K741" s="7"/>
      <c r="L741" s="7"/>
      <c r="M741" s="35"/>
    </row>
    <row r="742" spans="1:13" ht="15.75" hidden="1" customHeight="1" x14ac:dyDescent="0.25">
      <c r="A742" s="7"/>
      <c r="B742" s="7"/>
      <c r="E742" s="21"/>
      <c r="K742" s="7"/>
      <c r="L742" s="7"/>
      <c r="M742" s="35"/>
    </row>
    <row r="743" spans="1:13" ht="15.75" hidden="1" customHeight="1" x14ac:dyDescent="0.25">
      <c r="A743" s="7"/>
      <c r="B743" s="7"/>
      <c r="E743" s="21"/>
      <c r="K743" s="7"/>
      <c r="L743" s="7"/>
      <c r="M743" s="35"/>
    </row>
    <row r="744" spans="1:13" ht="15.75" hidden="1" customHeight="1" x14ac:dyDescent="0.25">
      <c r="A744" s="7"/>
      <c r="B744" s="7"/>
      <c r="E744" s="21"/>
      <c r="K744" s="7"/>
      <c r="L744" s="7"/>
      <c r="M744" s="35"/>
    </row>
    <row r="745" spans="1:13" ht="15.75" hidden="1" customHeight="1" x14ac:dyDescent="0.25">
      <c r="A745" s="7"/>
      <c r="B745" s="7"/>
      <c r="E745" s="21"/>
      <c r="K745" s="7"/>
      <c r="L745" s="7"/>
      <c r="M745" s="35"/>
    </row>
    <row r="746" spans="1:13" ht="15.75" hidden="1" customHeight="1" x14ac:dyDescent="0.25">
      <c r="A746" s="7"/>
      <c r="B746" s="7"/>
      <c r="E746" s="21"/>
      <c r="K746" s="7"/>
      <c r="L746" s="7"/>
      <c r="M746" s="35"/>
    </row>
    <row r="747" spans="1:13" ht="15.75" hidden="1" customHeight="1" x14ac:dyDescent="0.25">
      <c r="A747" s="7"/>
      <c r="B747" s="7"/>
      <c r="E747" s="21"/>
      <c r="K747" s="7"/>
      <c r="L747" s="7"/>
      <c r="M747" s="35"/>
    </row>
    <row r="748" spans="1:13" ht="15.75" hidden="1" customHeight="1" x14ac:dyDescent="0.25">
      <c r="A748" s="7"/>
      <c r="B748" s="7"/>
      <c r="E748" s="21"/>
      <c r="K748" s="7"/>
      <c r="L748" s="7"/>
      <c r="M748" s="35"/>
    </row>
    <row r="749" spans="1:13" ht="15.75" hidden="1" customHeight="1" x14ac:dyDescent="0.25">
      <c r="A749" s="7"/>
      <c r="B749" s="7"/>
      <c r="E749" s="21"/>
      <c r="K749" s="7"/>
      <c r="L749" s="7"/>
      <c r="M749" s="35"/>
    </row>
    <row r="750" spans="1:13" ht="15.75" hidden="1" customHeight="1" x14ac:dyDescent="0.25">
      <c r="A750" s="7"/>
      <c r="B750" s="7"/>
      <c r="E750" s="21"/>
      <c r="K750" s="7"/>
      <c r="L750" s="7"/>
      <c r="M750" s="35"/>
    </row>
    <row r="751" spans="1:13" ht="15.75" hidden="1" customHeight="1" x14ac:dyDescent="0.25">
      <c r="A751" s="7"/>
      <c r="B751" s="7"/>
      <c r="E751" s="21"/>
      <c r="K751" s="7"/>
      <c r="L751" s="7"/>
      <c r="M751" s="35"/>
    </row>
    <row r="752" spans="1:13" ht="15.75" hidden="1" customHeight="1" x14ac:dyDescent="0.25">
      <c r="A752" s="7"/>
      <c r="B752" s="7"/>
      <c r="E752" s="21"/>
      <c r="K752" s="7"/>
      <c r="L752" s="7"/>
      <c r="M752" s="35"/>
    </row>
    <row r="753" spans="1:13" ht="15.75" hidden="1" customHeight="1" x14ac:dyDescent="0.25">
      <c r="A753" s="7"/>
      <c r="B753" s="7"/>
      <c r="E753" s="21"/>
      <c r="K753" s="7"/>
      <c r="L753" s="7"/>
      <c r="M753" s="35"/>
    </row>
    <row r="754" spans="1:13" ht="15.75" hidden="1" customHeight="1" x14ac:dyDescent="0.25">
      <c r="A754" s="7"/>
      <c r="B754" s="7"/>
      <c r="E754" s="21"/>
      <c r="K754" s="7"/>
      <c r="L754" s="7"/>
      <c r="M754" s="35"/>
    </row>
    <row r="755" spans="1:13" ht="15.75" hidden="1" customHeight="1" x14ac:dyDescent="0.25">
      <c r="A755" s="7"/>
      <c r="B755" s="7"/>
      <c r="E755" s="21"/>
      <c r="K755" s="7"/>
      <c r="L755" s="7"/>
      <c r="M755" s="35"/>
    </row>
    <row r="756" spans="1:13" ht="15.75" hidden="1" customHeight="1" x14ac:dyDescent="0.25">
      <c r="A756" s="7"/>
      <c r="B756" s="7"/>
      <c r="E756" s="21"/>
      <c r="K756" s="7"/>
      <c r="L756" s="7"/>
      <c r="M756" s="35"/>
    </row>
    <row r="757" spans="1:13" ht="15.75" hidden="1" customHeight="1" x14ac:dyDescent="0.25">
      <c r="A757" s="7"/>
      <c r="B757" s="7"/>
      <c r="E757" s="21"/>
      <c r="K757" s="7"/>
      <c r="L757" s="7"/>
      <c r="M757" s="35"/>
    </row>
    <row r="758" spans="1:13" ht="15.75" hidden="1" customHeight="1" x14ac:dyDescent="0.25">
      <c r="A758" s="7"/>
      <c r="B758" s="7"/>
      <c r="E758" s="21"/>
      <c r="K758" s="7"/>
      <c r="L758" s="7"/>
      <c r="M758" s="35"/>
    </row>
    <row r="759" spans="1:13" ht="15.75" hidden="1" customHeight="1" x14ac:dyDescent="0.25">
      <c r="A759" s="7"/>
      <c r="B759" s="7"/>
      <c r="E759" s="21"/>
      <c r="K759" s="7"/>
      <c r="L759" s="7"/>
      <c r="M759" s="35"/>
    </row>
    <row r="760" spans="1:13" ht="15.75" hidden="1" customHeight="1" x14ac:dyDescent="0.25">
      <c r="A760" s="7"/>
      <c r="B760" s="7"/>
      <c r="E760" s="21"/>
      <c r="K760" s="7"/>
      <c r="L760" s="7"/>
      <c r="M760" s="35"/>
    </row>
    <row r="761" spans="1:13" ht="15.75" hidden="1" customHeight="1" x14ac:dyDescent="0.25">
      <c r="A761" s="7"/>
      <c r="B761" s="7"/>
      <c r="E761" s="21"/>
      <c r="K761" s="7"/>
      <c r="L761" s="7"/>
      <c r="M761" s="35"/>
    </row>
    <row r="762" spans="1:13" ht="15.75" hidden="1" customHeight="1" x14ac:dyDescent="0.25">
      <c r="A762" s="7"/>
      <c r="B762" s="7"/>
      <c r="E762" s="21"/>
      <c r="K762" s="7"/>
      <c r="L762" s="7"/>
      <c r="M762" s="35"/>
    </row>
    <row r="763" spans="1:13" ht="15.75" hidden="1" customHeight="1" x14ac:dyDescent="0.25">
      <c r="A763" s="7"/>
      <c r="B763" s="7"/>
      <c r="E763" s="21"/>
      <c r="K763" s="7"/>
      <c r="L763" s="7"/>
      <c r="M763" s="35"/>
    </row>
    <row r="764" spans="1:13" ht="15.75" hidden="1" customHeight="1" x14ac:dyDescent="0.25">
      <c r="A764" s="7"/>
      <c r="B764" s="7"/>
      <c r="E764" s="21"/>
      <c r="K764" s="7"/>
      <c r="L764" s="7"/>
      <c r="M764" s="35"/>
    </row>
    <row r="765" spans="1:13" ht="15.75" hidden="1" customHeight="1" x14ac:dyDescent="0.25">
      <c r="A765" s="7"/>
      <c r="B765" s="7"/>
      <c r="E765" s="21"/>
      <c r="K765" s="7"/>
      <c r="L765" s="7"/>
      <c r="M765" s="35"/>
    </row>
    <row r="766" spans="1:13" ht="15.75" hidden="1" customHeight="1" x14ac:dyDescent="0.25">
      <c r="A766" s="7"/>
      <c r="B766" s="7"/>
      <c r="E766" s="21"/>
      <c r="K766" s="7"/>
      <c r="L766" s="7"/>
      <c r="M766" s="35"/>
    </row>
    <row r="767" spans="1:13" ht="15.75" hidden="1" customHeight="1" x14ac:dyDescent="0.25">
      <c r="A767" s="7"/>
      <c r="B767" s="7"/>
      <c r="E767" s="21"/>
      <c r="K767" s="7"/>
      <c r="L767" s="7"/>
      <c r="M767" s="35"/>
    </row>
    <row r="768" spans="1:13" ht="15.75" hidden="1" customHeight="1" x14ac:dyDescent="0.25">
      <c r="A768" s="7"/>
      <c r="B768" s="7"/>
      <c r="E768" s="21"/>
      <c r="K768" s="7"/>
      <c r="L768" s="7"/>
      <c r="M768" s="35"/>
    </row>
    <row r="769" spans="1:13" ht="15.75" hidden="1" customHeight="1" x14ac:dyDescent="0.25">
      <c r="A769" s="7"/>
      <c r="B769" s="7"/>
      <c r="E769" s="21"/>
      <c r="K769" s="7"/>
      <c r="L769" s="7"/>
      <c r="M769" s="35"/>
    </row>
    <row r="770" spans="1:13" ht="15.75" hidden="1" customHeight="1" x14ac:dyDescent="0.25">
      <c r="A770" s="7"/>
      <c r="B770" s="7"/>
      <c r="E770" s="21"/>
      <c r="K770" s="7"/>
      <c r="L770" s="7"/>
      <c r="M770" s="35"/>
    </row>
    <row r="771" spans="1:13" ht="15.75" hidden="1" customHeight="1" x14ac:dyDescent="0.25">
      <c r="A771" s="7"/>
      <c r="B771" s="7"/>
      <c r="E771" s="21"/>
      <c r="K771" s="7"/>
      <c r="L771" s="7"/>
      <c r="M771" s="35"/>
    </row>
    <row r="772" spans="1:13" ht="15.75" hidden="1" customHeight="1" x14ac:dyDescent="0.25">
      <c r="A772" s="7"/>
      <c r="B772" s="7"/>
      <c r="E772" s="21"/>
      <c r="K772" s="7"/>
      <c r="L772" s="7"/>
      <c r="M772" s="35"/>
    </row>
    <row r="773" spans="1:13" ht="15.75" hidden="1" customHeight="1" x14ac:dyDescent="0.25">
      <c r="A773" s="7"/>
      <c r="B773" s="7"/>
      <c r="E773" s="21"/>
      <c r="K773" s="7"/>
      <c r="L773" s="7"/>
      <c r="M773" s="35"/>
    </row>
    <row r="774" spans="1:13" ht="15.75" hidden="1" customHeight="1" x14ac:dyDescent="0.25">
      <c r="A774" s="7"/>
      <c r="B774" s="7"/>
      <c r="E774" s="21"/>
      <c r="K774" s="7"/>
      <c r="L774" s="7"/>
      <c r="M774" s="35"/>
    </row>
    <row r="775" spans="1:13" ht="15.75" hidden="1" customHeight="1" x14ac:dyDescent="0.25">
      <c r="A775" s="7"/>
      <c r="B775" s="7"/>
      <c r="E775" s="21"/>
      <c r="K775" s="7"/>
      <c r="L775" s="7"/>
      <c r="M775" s="35"/>
    </row>
    <row r="776" spans="1:13" ht="15.75" hidden="1" customHeight="1" x14ac:dyDescent="0.25">
      <c r="A776" s="7"/>
      <c r="B776" s="7"/>
      <c r="E776" s="21"/>
      <c r="K776" s="7"/>
      <c r="L776" s="7"/>
      <c r="M776" s="35"/>
    </row>
    <row r="777" spans="1:13" ht="15.75" hidden="1" customHeight="1" x14ac:dyDescent="0.25">
      <c r="A777" s="7"/>
      <c r="B777" s="7"/>
      <c r="E777" s="21"/>
      <c r="K777" s="7"/>
      <c r="L777" s="7"/>
      <c r="M777" s="35"/>
    </row>
    <row r="778" spans="1:13" ht="15.75" hidden="1" customHeight="1" x14ac:dyDescent="0.25">
      <c r="A778" s="7"/>
      <c r="B778" s="7"/>
      <c r="E778" s="21"/>
      <c r="K778" s="7"/>
      <c r="L778" s="7"/>
      <c r="M778" s="35"/>
    </row>
    <row r="779" spans="1:13" ht="15.75" hidden="1" customHeight="1" x14ac:dyDescent="0.25">
      <c r="A779" s="7"/>
      <c r="B779" s="7"/>
      <c r="E779" s="21"/>
      <c r="K779" s="7"/>
      <c r="L779" s="7"/>
      <c r="M779" s="35"/>
    </row>
    <row r="780" spans="1:13" ht="15.75" hidden="1" customHeight="1" x14ac:dyDescent="0.25">
      <c r="A780" s="7"/>
      <c r="B780" s="7"/>
      <c r="E780" s="21"/>
      <c r="K780" s="7"/>
      <c r="L780" s="7"/>
      <c r="M780" s="35"/>
    </row>
    <row r="781" spans="1:13" ht="15.75" hidden="1" customHeight="1" x14ac:dyDescent="0.25">
      <c r="A781" s="7"/>
      <c r="B781" s="7"/>
      <c r="E781" s="21"/>
      <c r="K781" s="7"/>
      <c r="L781" s="7"/>
      <c r="M781" s="35"/>
    </row>
    <row r="782" spans="1:13" ht="15.75" hidden="1" customHeight="1" x14ac:dyDescent="0.25">
      <c r="A782" s="7"/>
      <c r="B782" s="7"/>
      <c r="E782" s="21"/>
      <c r="K782" s="7"/>
      <c r="L782" s="7"/>
      <c r="M782" s="35"/>
    </row>
    <row r="783" spans="1:13" ht="15.75" hidden="1" customHeight="1" x14ac:dyDescent="0.25">
      <c r="A783" s="7"/>
      <c r="B783" s="7"/>
      <c r="E783" s="21"/>
      <c r="K783" s="7"/>
      <c r="L783" s="7"/>
      <c r="M783" s="35"/>
    </row>
    <row r="784" spans="1:13" ht="15.75" hidden="1" customHeight="1" x14ac:dyDescent="0.25">
      <c r="A784" s="7"/>
      <c r="B784" s="7"/>
      <c r="E784" s="21"/>
      <c r="K784" s="7"/>
      <c r="L784" s="7"/>
      <c r="M784" s="35"/>
    </row>
    <row r="785" spans="1:13" ht="15.75" hidden="1" customHeight="1" x14ac:dyDescent="0.25">
      <c r="A785" s="7"/>
      <c r="B785" s="7"/>
      <c r="E785" s="21"/>
      <c r="K785" s="7"/>
      <c r="L785" s="7"/>
      <c r="M785" s="35"/>
    </row>
    <row r="786" spans="1:13" ht="15.75" hidden="1" customHeight="1" x14ac:dyDescent="0.25">
      <c r="A786" s="7"/>
      <c r="B786" s="7"/>
      <c r="E786" s="21"/>
      <c r="K786" s="7"/>
      <c r="L786" s="7"/>
      <c r="M786" s="35"/>
    </row>
    <row r="787" spans="1:13" ht="15.75" hidden="1" customHeight="1" x14ac:dyDescent="0.25">
      <c r="A787" s="7"/>
      <c r="B787" s="7"/>
      <c r="E787" s="21"/>
      <c r="K787" s="7"/>
      <c r="L787" s="7"/>
      <c r="M787" s="35"/>
    </row>
    <row r="788" spans="1:13" ht="15.75" hidden="1" customHeight="1" x14ac:dyDescent="0.25">
      <c r="A788" s="7"/>
      <c r="B788" s="7"/>
      <c r="E788" s="21"/>
      <c r="K788" s="7"/>
      <c r="L788" s="7"/>
      <c r="M788" s="35"/>
    </row>
    <row r="789" spans="1:13" ht="15.75" hidden="1" customHeight="1" x14ac:dyDescent="0.25">
      <c r="A789" s="7"/>
      <c r="B789" s="7"/>
      <c r="E789" s="21"/>
      <c r="K789" s="7"/>
      <c r="L789" s="7"/>
      <c r="M789" s="35"/>
    </row>
    <row r="790" spans="1:13" ht="15.75" hidden="1" customHeight="1" x14ac:dyDescent="0.25">
      <c r="A790" s="7"/>
      <c r="B790" s="7"/>
      <c r="E790" s="21"/>
      <c r="K790" s="7"/>
      <c r="L790" s="7"/>
      <c r="M790" s="35"/>
    </row>
    <row r="791" spans="1:13" ht="15.75" hidden="1" customHeight="1" x14ac:dyDescent="0.25">
      <c r="A791" s="7"/>
      <c r="B791" s="7"/>
      <c r="E791" s="21"/>
      <c r="K791" s="7"/>
      <c r="L791" s="7"/>
      <c r="M791" s="35"/>
    </row>
    <row r="792" spans="1:13" ht="15.75" hidden="1" customHeight="1" x14ac:dyDescent="0.25">
      <c r="A792" s="7"/>
      <c r="B792" s="7"/>
      <c r="E792" s="21"/>
      <c r="K792" s="7"/>
      <c r="L792" s="7"/>
      <c r="M792" s="35"/>
    </row>
    <row r="793" spans="1:13" ht="15.75" hidden="1" customHeight="1" x14ac:dyDescent="0.25">
      <c r="A793" s="7"/>
      <c r="B793" s="7"/>
      <c r="E793" s="21"/>
      <c r="K793" s="7"/>
      <c r="L793" s="7"/>
      <c r="M793" s="35"/>
    </row>
    <row r="794" spans="1:13" ht="15.75" hidden="1" customHeight="1" x14ac:dyDescent="0.25">
      <c r="A794" s="7"/>
      <c r="B794" s="7"/>
      <c r="E794" s="21"/>
      <c r="K794" s="7"/>
      <c r="L794" s="7"/>
      <c r="M794" s="35"/>
    </row>
    <row r="795" spans="1:13" ht="15.75" hidden="1" customHeight="1" x14ac:dyDescent="0.25">
      <c r="A795" s="7"/>
      <c r="B795" s="7"/>
      <c r="E795" s="21"/>
      <c r="K795" s="7"/>
      <c r="L795" s="7"/>
      <c r="M795" s="35"/>
    </row>
    <row r="796" spans="1:13" ht="15.75" hidden="1" customHeight="1" x14ac:dyDescent="0.25">
      <c r="A796" s="7"/>
      <c r="B796" s="7"/>
      <c r="E796" s="21"/>
      <c r="K796" s="7"/>
      <c r="L796" s="7"/>
      <c r="M796" s="35"/>
    </row>
    <row r="797" spans="1:13" ht="15.75" hidden="1" customHeight="1" x14ac:dyDescent="0.25">
      <c r="A797" s="7"/>
      <c r="B797" s="7"/>
      <c r="E797" s="21"/>
      <c r="K797" s="7"/>
      <c r="L797" s="7"/>
      <c r="M797" s="35"/>
    </row>
    <row r="798" spans="1:13" ht="15.75" hidden="1" customHeight="1" x14ac:dyDescent="0.25">
      <c r="A798" s="7"/>
      <c r="B798" s="7"/>
      <c r="E798" s="21"/>
      <c r="K798" s="7"/>
      <c r="L798" s="7"/>
      <c r="M798" s="35"/>
    </row>
    <row r="799" spans="1:13" ht="15.75" hidden="1" customHeight="1" x14ac:dyDescent="0.25">
      <c r="A799" s="7"/>
      <c r="B799" s="7"/>
      <c r="E799" s="21"/>
      <c r="K799" s="7"/>
      <c r="L799" s="7"/>
      <c r="M799" s="35"/>
    </row>
    <row r="800" spans="1:13" ht="15.75" hidden="1" customHeight="1" x14ac:dyDescent="0.25">
      <c r="A800" s="7"/>
      <c r="B800" s="7"/>
      <c r="E800" s="21"/>
      <c r="K800" s="7"/>
      <c r="L800" s="7"/>
      <c r="M800" s="35"/>
    </row>
    <row r="801" spans="1:13" ht="15.75" hidden="1" customHeight="1" x14ac:dyDescent="0.25">
      <c r="A801" s="7"/>
      <c r="B801" s="7"/>
      <c r="E801" s="21"/>
      <c r="K801" s="7"/>
      <c r="L801" s="7"/>
      <c r="M801" s="35"/>
    </row>
    <row r="802" spans="1:13" ht="15.75" hidden="1" customHeight="1" x14ac:dyDescent="0.25">
      <c r="A802" s="7"/>
      <c r="B802" s="7"/>
      <c r="E802" s="21"/>
      <c r="K802" s="7"/>
      <c r="L802" s="7"/>
      <c r="M802" s="35"/>
    </row>
    <row r="803" spans="1:13" ht="15.75" hidden="1" customHeight="1" x14ac:dyDescent="0.25">
      <c r="A803" s="7"/>
      <c r="B803" s="7"/>
      <c r="E803" s="21"/>
      <c r="K803" s="7"/>
      <c r="L803" s="7"/>
      <c r="M803" s="35"/>
    </row>
    <row r="804" spans="1:13" ht="15.75" hidden="1" customHeight="1" x14ac:dyDescent="0.25">
      <c r="A804" s="7"/>
      <c r="B804" s="7"/>
      <c r="E804" s="21"/>
      <c r="K804" s="7"/>
      <c r="L804" s="7"/>
      <c r="M804" s="35"/>
    </row>
    <row r="805" spans="1:13" ht="15.75" hidden="1" customHeight="1" x14ac:dyDescent="0.25">
      <c r="A805" s="7"/>
      <c r="B805" s="7"/>
      <c r="E805" s="21"/>
      <c r="K805" s="7"/>
      <c r="L805" s="7"/>
      <c r="M805" s="35"/>
    </row>
    <row r="806" spans="1:13" ht="15.75" hidden="1" customHeight="1" x14ac:dyDescent="0.25">
      <c r="A806" s="7"/>
      <c r="B806" s="7"/>
      <c r="E806" s="21"/>
      <c r="K806" s="7"/>
      <c r="L806" s="7"/>
      <c r="M806" s="35"/>
    </row>
    <row r="807" spans="1:13" ht="15.75" hidden="1" customHeight="1" x14ac:dyDescent="0.25">
      <c r="A807" s="7"/>
      <c r="B807" s="7"/>
      <c r="E807" s="21"/>
      <c r="K807" s="7"/>
      <c r="L807" s="7"/>
      <c r="M807" s="35"/>
    </row>
    <row r="808" spans="1:13" ht="15.75" hidden="1" customHeight="1" x14ac:dyDescent="0.25">
      <c r="A808" s="7"/>
      <c r="B808" s="7"/>
      <c r="E808" s="21"/>
      <c r="K808" s="7"/>
      <c r="L808" s="7"/>
      <c r="M808" s="35"/>
    </row>
    <row r="809" spans="1:13" ht="15.75" hidden="1" customHeight="1" x14ac:dyDescent="0.25">
      <c r="A809" s="7"/>
      <c r="B809" s="7"/>
      <c r="E809" s="21"/>
      <c r="K809" s="7"/>
      <c r="L809" s="7"/>
      <c r="M809" s="35"/>
    </row>
    <row r="810" spans="1:13" ht="15.75" hidden="1" customHeight="1" x14ac:dyDescent="0.25">
      <c r="A810" s="7"/>
      <c r="B810" s="7"/>
      <c r="E810" s="21"/>
      <c r="K810" s="7"/>
      <c r="L810" s="7"/>
      <c r="M810" s="35"/>
    </row>
    <row r="811" spans="1:13" ht="15.75" hidden="1" customHeight="1" x14ac:dyDescent="0.25">
      <c r="A811" s="7"/>
      <c r="B811" s="7"/>
      <c r="E811" s="21"/>
      <c r="K811" s="7"/>
      <c r="L811" s="7"/>
      <c r="M811" s="35"/>
    </row>
    <row r="812" spans="1:13" ht="15.75" hidden="1" customHeight="1" x14ac:dyDescent="0.25">
      <c r="A812" s="7"/>
      <c r="B812" s="7"/>
      <c r="E812" s="21"/>
      <c r="K812" s="7"/>
      <c r="L812" s="7"/>
      <c r="M812" s="35"/>
    </row>
    <row r="813" spans="1:13" ht="15.75" hidden="1" customHeight="1" x14ac:dyDescent="0.25">
      <c r="A813" s="7"/>
      <c r="B813" s="7"/>
      <c r="E813" s="21"/>
      <c r="K813" s="7"/>
      <c r="L813" s="7"/>
      <c r="M813" s="35"/>
    </row>
    <row r="814" spans="1:13" ht="15.75" hidden="1" customHeight="1" x14ac:dyDescent="0.25">
      <c r="A814" s="7"/>
      <c r="B814" s="7"/>
      <c r="E814" s="21"/>
      <c r="K814" s="7"/>
      <c r="L814" s="7"/>
      <c r="M814" s="35"/>
    </row>
    <row r="815" spans="1:13" ht="15.75" hidden="1" customHeight="1" x14ac:dyDescent="0.25">
      <c r="A815" s="7"/>
      <c r="B815" s="7"/>
      <c r="E815" s="21"/>
      <c r="K815" s="7"/>
      <c r="L815" s="7"/>
      <c r="M815" s="35"/>
    </row>
    <row r="816" spans="1:13" ht="15.75" hidden="1" customHeight="1" x14ac:dyDescent="0.25">
      <c r="A816" s="7"/>
      <c r="B816" s="7"/>
      <c r="E816" s="21"/>
      <c r="K816" s="7"/>
      <c r="L816" s="7"/>
      <c r="M816" s="35"/>
    </row>
    <row r="817" spans="1:13" ht="15.75" hidden="1" customHeight="1" x14ac:dyDescent="0.25">
      <c r="A817" s="7"/>
      <c r="B817" s="7"/>
      <c r="E817" s="21"/>
      <c r="K817" s="7"/>
      <c r="L817" s="7"/>
      <c r="M817" s="35"/>
    </row>
    <row r="818" spans="1:13" ht="15.75" hidden="1" customHeight="1" x14ac:dyDescent="0.25">
      <c r="A818" s="7"/>
      <c r="B818" s="7"/>
      <c r="E818" s="21"/>
      <c r="K818" s="7"/>
      <c r="L818" s="7"/>
      <c r="M818" s="35"/>
    </row>
    <row r="819" spans="1:13" ht="15.75" hidden="1" customHeight="1" x14ac:dyDescent="0.25">
      <c r="A819" s="7"/>
      <c r="B819" s="7"/>
      <c r="E819" s="21"/>
      <c r="K819" s="7"/>
      <c r="L819" s="7"/>
      <c r="M819" s="35"/>
    </row>
    <row r="820" spans="1:13" ht="15.75" hidden="1" customHeight="1" x14ac:dyDescent="0.25">
      <c r="A820" s="7"/>
      <c r="B820" s="7"/>
      <c r="E820" s="21"/>
      <c r="K820" s="7"/>
      <c r="L820" s="7"/>
      <c r="M820" s="35"/>
    </row>
    <row r="821" spans="1:13" ht="15.75" hidden="1" customHeight="1" x14ac:dyDescent="0.25">
      <c r="A821" s="7"/>
      <c r="B821" s="7"/>
      <c r="E821" s="21"/>
      <c r="K821" s="7"/>
      <c r="L821" s="7"/>
      <c r="M821" s="35"/>
    </row>
    <row r="822" spans="1:13" ht="15.75" hidden="1" customHeight="1" x14ac:dyDescent="0.25">
      <c r="A822" s="7"/>
      <c r="B822" s="7"/>
      <c r="E822" s="21"/>
      <c r="K822" s="7"/>
      <c r="L822" s="7"/>
      <c r="M822" s="35"/>
    </row>
    <row r="823" spans="1:13" ht="15.75" hidden="1" customHeight="1" x14ac:dyDescent="0.25">
      <c r="A823" s="7"/>
      <c r="B823" s="7"/>
      <c r="E823" s="21"/>
      <c r="K823" s="7"/>
      <c r="L823" s="7"/>
      <c r="M823" s="35"/>
    </row>
    <row r="824" spans="1:13" ht="15.75" hidden="1" customHeight="1" x14ac:dyDescent="0.25">
      <c r="A824" s="7"/>
      <c r="B824" s="7"/>
      <c r="E824" s="21"/>
      <c r="K824" s="7"/>
      <c r="L824" s="7"/>
      <c r="M824" s="35"/>
    </row>
    <row r="825" spans="1:13" ht="15.75" hidden="1" customHeight="1" x14ac:dyDescent="0.25">
      <c r="A825" s="7"/>
      <c r="B825" s="7"/>
      <c r="E825" s="21"/>
      <c r="K825" s="7"/>
      <c r="L825" s="7"/>
      <c r="M825" s="35"/>
    </row>
    <row r="826" spans="1:13" ht="15.75" hidden="1" customHeight="1" x14ac:dyDescent="0.25">
      <c r="A826" s="7"/>
      <c r="B826" s="7"/>
      <c r="E826" s="21"/>
      <c r="K826" s="7"/>
      <c r="L826" s="7"/>
      <c r="M826" s="35"/>
    </row>
    <row r="827" spans="1:13" ht="15.75" hidden="1" customHeight="1" x14ac:dyDescent="0.25">
      <c r="A827" s="7"/>
      <c r="B827" s="7"/>
      <c r="E827" s="21"/>
      <c r="K827" s="7"/>
      <c r="L827" s="7"/>
      <c r="M827" s="35"/>
    </row>
    <row r="828" spans="1:13" ht="15.75" hidden="1" customHeight="1" x14ac:dyDescent="0.25">
      <c r="A828" s="7"/>
      <c r="B828" s="7"/>
      <c r="E828" s="21"/>
      <c r="K828" s="7"/>
      <c r="L828" s="7"/>
      <c r="M828" s="35"/>
    </row>
    <row r="829" spans="1:13" ht="15.75" hidden="1" customHeight="1" x14ac:dyDescent="0.25">
      <c r="A829" s="7"/>
      <c r="B829" s="7"/>
      <c r="E829" s="21"/>
      <c r="K829" s="7"/>
      <c r="L829" s="7"/>
      <c r="M829" s="35"/>
    </row>
    <row r="830" spans="1:13" ht="15.75" hidden="1" customHeight="1" x14ac:dyDescent="0.25">
      <c r="A830" s="7"/>
      <c r="B830" s="7"/>
      <c r="E830" s="21"/>
      <c r="K830" s="7"/>
      <c r="L830" s="7"/>
      <c r="M830" s="35"/>
    </row>
    <row r="831" spans="1:13" ht="15.75" hidden="1" customHeight="1" x14ac:dyDescent="0.25">
      <c r="A831" s="7"/>
      <c r="B831" s="7"/>
      <c r="E831" s="21"/>
      <c r="K831" s="7"/>
      <c r="L831" s="7"/>
      <c r="M831" s="35"/>
    </row>
    <row r="832" spans="1:13" ht="15.75" hidden="1" customHeight="1" x14ac:dyDescent="0.25">
      <c r="A832" s="7"/>
      <c r="B832" s="7"/>
      <c r="E832" s="21"/>
      <c r="K832" s="7"/>
      <c r="L832" s="7"/>
      <c r="M832" s="35"/>
    </row>
    <row r="833" spans="1:13" ht="15.75" hidden="1" customHeight="1" x14ac:dyDescent="0.25">
      <c r="A833" s="7"/>
      <c r="B833" s="7"/>
      <c r="E833" s="21"/>
      <c r="K833" s="7"/>
      <c r="L833" s="7"/>
      <c r="M833" s="35"/>
    </row>
    <row r="834" spans="1:13" ht="15.75" hidden="1" customHeight="1" x14ac:dyDescent="0.25">
      <c r="A834" s="7"/>
      <c r="B834" s="7"/>
      <c r="E834" s="21"/>
      <c r="K834" s="7"/>
      <c r="L834" s="7"/>
      <c r="M834" s="35"/>
    </row>
    <row r="835" spans="1:13" ht="15.75" hidden="1" customHeight="1" x14ac:dyDescent="0.25">
      <c r="A835" s="7"/>
      <c r="B835" s="7"/>
      <c r="E835" s="21"/>
      <c r="K835" s="7"/>
      <c r="L835" s="7"/>
      <c r="M835" s="35"/>
    </row>
    <row r="836" spans="1:13" ht="15.75" hidden="1" customHeight="1" x14ac:dyDescent="0.25">
      <c r="A836" s="7"/>
      <c r="B836" s="7"/>
      <c r="E836" s="21"/>
      <c r="K836" s="7"/>
      <c r="L836" s="7"/>
      <c r="M836" s="35"/>
    </row>
    <row r="837" spans="1:13" ht="15.75" hidden="1" customHeight="1" x14ac:dyDescent="0.25">
      <c r="A837" s="7"/>
      <c r="B837" s="7"/>
      <c r="E837" s="21"/>
      <c r="K837" s="7"/>
      <c r="L837" s="7"/>
      <c r="M837" s="35"/>
    </row>
    <row r="838" spans="1:13" ht="15.75" hidden="1" customHeight="1" x14ac:dyDescent="0.25">
      <c r="A838" s="7"/>
      <c r="B838" s="7"/>
      <c r="E838" s="21"/>
      <c r="K838" s="7"/>
      <c r="L838" s="7"/>
      <c r="M838" s="35"/>
    </row>
    <row r="839" spans="1:13" ht="15.75" hidden="1" customHeight="1" x14ac:dyDescent="0.25">
      <c r="A839" s="7"/>
      <c r="B839" s="7"/>
      <c r="E839" s="21"/>
      <c r="K839" s="7"/>
      <c r="L839" s="7"/>
      <c r="M839" s="35"/>
    </row>
    <row r="840" spans="1:13" ht="15.75" hidden="1" customHeight="1" x14ac:dyDescent="0.25">
      <c r="A840" s="7"/>
      <c r="B840" s="7"/>
      <c r="E840" s="21"/>
      <c r="K840" s="7"/>
      <c r="L840" s="7"/>
      <c r="M840" s="35"/>
    </row>
    <row r="841" spans="1:13" ht="15.75" hidden="1" customHeight="1" x14ac:dyDescent="0.25">
      <c r="A841" s="7"/>
      <c r="B841" s="7"/>
      <c r="E841" s="21"/>
      <c r="K841" s="7"/>
      <c r="L841" s="7"/>
      <c r="M841" s="35"/>
    </row>
    <row r="842" spans="1:13" ht="15.75" hidden="1" customHeight="1" x14ac:dyDescent="0.25">
      <c r="A842" s="7"/>
      <c r="B842" s="7"/>
      <c r="E842" s="21"/>
      <c r="K842" s="7"/>
      <c r="L842" s="7"/>
      <c r="M842" s="35"/>
    </row>
    <row r="843" spans="1:13" ht="15.75" hidden="1" customHeight="1" x14ac:dyDescent="0.25">
      <c r="A843" s="7"/>
      <c r="B843" s="7"/>
      <c r="E843" s="21"/>
      <c r="K843" s="7"/>
      <c r="L843" s="7"/>
      <c r="M843" s="35"/>
    </row>
    <row r="844" spans="1:13" ht="15.75" hidden="1" customHeight="1" x14ac:dyDescent="0.25">
      <c r="A844" s="7"/>
      <c r="B844" s="7"/>
      <c r="E844" s="21"/>
      <c r="K844" s="7"/>
      <c r="L844" s="7"/>
      <c r="M844" s="35"/>
    </row>
    <row r="845" spans="1:13" ht="15.75" hidden="1" customHeight="1" x14ac:dyDescent="0.25">
      <c r="A845" s="7"/>
      <c r="B845" s="7"/>
      <c r="E845" s="21"/>
      <c r="K845" s="7"/>
      <c r="L845" s="7"/>
      <c r="M845" s="35"/>
    </row>
    <row r="846" spans="1:13" ht="15.75" hidden="1" customHeight="1" x14ac:dyDescent="0.25">
      <c r="A846" s="7"/>
      <c r="B846" s="7"/>
      <c r="E846" s="21"/>
      <c r="K846" s="7"/>
      <c r="L846" s="7"/>
      <c r="M846" s="35"/>
    </row>
    <row r="847" spans="1:13" ht="15.75" hidden="1" customHeight="1" x14ac:dyDescent="0.25">
      <c r="A847" s="7"/>
      <c r="B847" s="7"/>
      <c r="E847" s="21"/>
      <c r="K847" s="7"/>
      <c r="L847" s="7"/>
      <c r="M847" s="35"/>
    </row>
    <row r="848" spans="1:13" ht="15.75" hidden="1" customHeight="1" x14ac:dyDescent="0.25">
      <c r="A848" s="7"/>
      <c r="B848" s="7"/>
      <c r="E848" s="21"/>
      <c r="K848" s="7"/>
      <c r="L848" s="7"/>
      <c r="M848" s="35"/>
    </row>
    <row r="849" spans="1:13" ht="15.75" hidden="1" customHeight="1" x14ac:dyDescent="0.25">
      <c r="A849" s="7"/>
      <c r="B849" s="7"/>
      <c r="E849" s="21"/>
      <c r="K849" s="7"/>
      <c r="L849" s="7"/>
      <c r="M849" s="35"/>
    </row>
    <row r="850" spans="1:13" ht="15.75" hidden="1" customHeight="1" x14ac:dyDescent="0.25">
      <c r="A850" s="7"/>
      <c r="B850" s="7"/>
      <c r="E850" s="21"/>
      <c r="K850" s="7"/>
      <c r="L850" s="7"/>
      <c r="M850" s="35"/>
    </row>
    <row r="851" spans="1:13" ht="15.75" hidden="1" customHeight="1" x14ac:dyDescent="0.25">
      <c r="A851" s="7"/>
      <c r="B851" s="7"/>
      <c r="E851" s="21"/>
      <c r="K851" s="7"/>
      <c r="L851" s="7"/>
      <c r="M851" s="35"/>
    </row>
    <row r="852" spans="1:13" ht="15.75" hidden="1" customHeight="1" x14ac:dyDescent="0.25">
      <c r="A852" s="7"/>
      <c r="B852" s="7"/>
      <c r="E852" s="21"/>
      <c r="K852" s="7"/>
      <c r="L852" s="7"/>
      <c r="M852" s="35"/>
    </row>
    <row r="853" spans="1:13" ht="15.75" hidden="1" customHeight="1" x14ac:dyDescent="0.25">
      <c r="A853" s="7"/>
      <c r="B853" s="7"/>
      <c r="E853" s="21"/>
      <c r="K853" s="7"/>
      <c r="L853" s="7"/>
      <c r="M853" s="35"/>
    </row>
    <row r="854" spans="1:13" ht="15.75" hidden="1" customHeight="1" x14ac:dyDescent="0.25">
      <c r="A854" s="7"/>
      <c r="B854" s="7"/>
      <c r="E854" s="21"/>
      <c r="K854" s="7"/>
      <c r="L854" s="7"/>
      <c r="M854" s="35"/>
    </row>
    <row r="855" spans="1:13" ht="15.75" hidden="1" customHeight="1" x14ac:dyDescent="0.25">
      <c r="A855" s="7"/>
      <c r="B855" s="7"/>
      <c r="E855" s="21"/>
      <c r="K855" s="7"/>
      <c r="L855" s="7"/>
      <c r="M855" s="35"/>
    </row>
    <row r="856" spans="1:13" ht="15.75" hidden="1" customHeight="1" x14ac:dyDescent="0.25">
      <c r="A856" s="7"/>
      <c r="B856" s="7"/>
      <c r="E856" s="21"/>
      <c r="K856" s="7"/>
      <c r="L856" s="7"/>
      <c r="M856" s="35"/>
    </row>
    <row r="857" spans="1:13" ht="15.75" hidden="1" customHeight="1" x14ac:dyDescent="0.25">
      <c r="A857" s="7"/>
      <c r="B857" s="7"/>
      <c r="E857" s="21"/>
      <c r="K857" s="7"/>
      <c r="L857" s="7"/>
      <c r="M857" s="35"/>
    </row>
    <row r="858" spans="1:13" ht="15.75" hidden="1" customHeight="1" x14ac:dyDescent="0.25">
      <c r="A858" s="7"/>
      <c r="B858" s="7"/>
      <c r="E858" s="21"/>
      <c r="K858" s="7"/>
      <c r="L858" s="7"/>
      <c r="M858" s="35"/>
    </row>
    <row r="859" spans="1:13" ht="15.75" hidden="1" customHeight="1" x14ac:dyDescent="0.25">
      <c r="A859" s="7"/>
      <c r="B859" s="7"/>
      <c r="E859" s="21"/>
      <c r="K859" s="7"/>
      <c r="L859" s="7"/>
      <c r="M859" s="35"/>
    </row>
    <row r="860" spans="1:13" ht="15.75" hidden="1" customHeight="1" x14ac:dyDescent="0.25">
      <c r="A860" s="7"/>
      <c r="B860" s="7"/>
      <c r="E860" s="21"/>
      <c r="K860" s="7"/>
      <c r="L860" s="7"/>
      <c r="M860" s="35"/>
    </row>
    <row r="861" spans="1:13" ht="15.75" hidden="1" customHeight="1" x14ac:dyDescent="0.25">
      <c r="A861" s="7"/>
      <c r="B861" s="7"/>
      <c r="E861" s="21"/>
      <c r="K861" s="7"/>
      <c r="L861" s="7"/>
      <c r="M861" s="35"/>
    </row>
    <row r="862" spans="1:13" ht="15.75" hidden="1" customHeight="1" x14ac:dyDescent="0.25">
      <c r="A862" s="7"/>
      <c r="B862" s="7"/>
      <c r="E862" s="21"/>
      <c r="K862" s="7"/>
      <c r="L862" s="7"/>
      <c r="M862" s="35"/>
    </row>
    <row r="863" spans="1:13" ht="15.75" hidden="1" customHeight="1" x14ac:dyDescent="0.25">
      <c r="A863" s="7"/>
      <c r="B863" s="7"/>
      <c r="E863" s="21"/>
      <c r="K863" s="7"/>
      <c r="L863" s="7"/>
      <c r="M863" s="35"/>
    </row>
    <row r="864" spans="1:13" ht="15.75" hidden="1" customHeight="1" x14ac:dyDescent="0.25">
      <c r="A864" s="7"/>
      <c r="B864" s="7"/>
      <c r="E864" s="21"/>
      <c r="K864" s="7"/>
      <c r="L864" s="7"/>
      <c r="M864" s="35"/>
    </row>
    <row r="865" spans="1:13" ht="15.75" hidden="1" customHeight="1" x14ac:dyDescent="0.25">
      <c r="A865" s="7"/>
      <c r="B865" s="7"/>
      <c r="E865" s="21"/>
      <c r="K865" s="7"/>
      <c r="L865" s="7"/>
      <c r="M865" s="35"/>
    </row>
    <row r="866" spans="1:13" ht="15.75" hidden="1" customHeight="1" x14ac:dyDescent="0.25">
      <c r="A866" s="7"/>
      <c r="B866" s="7"/>
      <c r="E866" s="21"/>
      <c r="K866" s="7"/>
      <c r="L866" s="7"/>
      <c r="M866" s="35"/>
    </row>
    <row r="867" spans="1:13" ht="15.75" hidden="1" customHeight="1" x14ac:dyDescent="0.25">
      <c r="A867" s="7"/>
      <c r="B867" s="7"/>
      <c r="E867" s="21"/>
      <c r="K867" s="7"/>
      <c r="L867" s="7"/>
      <c r="M867" s="35"/>
    </row>
    <row r="868" spans="1:13" ht="15.75" hidden="1" customHeight="1" x14ac:dyDescent="0.25">
      <c r="A868" s="7"/>
      <c r="B868" s="7"/>
      <c r="E868" s="21"/>
      <c r="K868" s="7"/>
      <c r="L868" s="7"/>
      <c r="M868" s="35"/>
    </row>
    <row r="869" spans="1:13" ht="15.75" hidden="1" customHeight="1" x14ac:dyDescent="0.25">
      <c r="A869" s="7"/>
      <c r="B869" s="7"/>
      <c r="E869" s="21"/>
      <c r="K869" s="7"/>
      <c r="L869" s="7"/>
      <c r="M869" s="35"/>
    </row>
    <row r="870" spans="1:13" ht="15.75" hidden="1" customHeight="1" x14ac:dyDescent="0.25">
      <c r="A870" s="7"/>
      <c r="B870" s="7"/>
      <c r="E870" s="21"/>
      <c r="K870" s="7"/>
      <c r="L870" s="7"/>
      <c r="M870" s="35"/>
    </row>
    <row r="871" spans="1:13" ht="15.75" hidden="1" customHeight="1" x14ac:dyDescent="0.25">
      <c r="A871" s="7"/>
      <c r="B871" s="7"/>
      <c r="E871" s="21"/>
      <c r="K871" s="7"/>
      <c r="L871" s="7"/>
      <c r="M871" s="35"/>
    </row>
    <row r="872" spans="1:13" ht="15.75" hidden="1" customHeight="1" x14ac:dyDescent="0.25">
      <c r="A872" s="7"/>
      <c r="B872" s="7"/>
      <c r="E872" s="21"/>
      <c r="K872" s="7"/>
      <c r="L872" s="7"/>
      <c r="M872" s="35"/>
    </row>
    <row r="873" spans="1:13" ht="15.75" hidden="1" customHeight="1" x14ac:dyDescent="0.25">
      <c r="A873" s="7"/>
      <c r="B873" s="7"/>
      <c r="E873" s="21"/>
      <c r="K873" s="7"/>
      <c r="L873" s="7"/>
      <c r="M873" s="35"/>
    </row>
    <row r="874" spans="1:13" ht="15.75" hidden="1" customHeight="1" x14ac:dyDescent="0.25">
      <c r="A874" s="7"/>
      <c r="B874" s="7"/>
      <c r="E874" s="21"/>
      <c r="K874" s="7"/>
      <c r="L874" s="7"/>
      <c r="M874" s="35"/>
    </row>
    <row r="875" spans="1:13" ht="15.75" hidden="1" customHeight="1" x14ac:dyDescent="0.25">
      <c r="A875" s="7"/>
      <c r="B875" s="7"/>
      <c r="E875" s="21"/>
      <c r="K875" s="7"/>
      <c r="L875" s="7"/>
      <c r="M875" s="35"/>
    </row>
    <row r="876" spans="1:13" ht="15.75" hidden="1" customHeight="1" x14ac:dyDescent="0.25">
      <c r="A876" s="7"/>
      <c r="B876" s="7"/>
      <c r="E876" s="21"/>
      <c r="K876" s="7"/>
      <c r="L876" s="7"/>
      <c r="M876" s="35"/>
    </row>
    <row r="877" spans="1:13" ht="15.75" hidden="1" customHeight="1" x14ac:dyDescent="0.25">
      <c r="A877" s="7"/>
      <c r="B877" s="7"/>
      <c r="E877" s="21"/>
      <c r="K877" s="7"/>
      <c r="L877" s="7"/>
      <c r="M877" s="35"/>
    </row>
    <row r="878" spans="1:13" ht="15.75" hidden="1" customHeight="1" x14ac:dyDescent="0.25">
      <c r="A878" s="7"/>
      <c r="B878" s="7"/>
      <c r="E878" s="21"/>
      <c r="K878" s="7"/>
      <c r="L878" s="7"/>
      <c r="M878" s="35"/>
    </row>
    <row r="879" spans="1:13" ht="15.75" hidden="1" customHeight="1" x14ac:dyDescent="0.25">
      <c r="A879" s="7"/>
      <c r="B879" s="7"/>
      <c r="E879" s="21"/>
      <c r="K879" s="7"/>
      <c r="L879" s="7"/>
      <c r="M879" s="35"/>
    </row>
    <row r="880" spans="1:13" ht="15.75" hidden="1" customHeight="1" x14ac:dyDescent="0.25">
      <c r="A880" s="7"/>
      <c r="B880" s="7"/>
      <c r="E880" s="21"/>
      <c r="K880" s="7"/>
      <c r="L880" s="7"/>
      <c r="M880" s="35"/>
    </row>
    <row r="881" spans="1:13" ht="15.75" hidden="1" customHeight="1" x14ac:dyDescent="0.25">
      <c r="A881" s="7"/>
      <c r="B881" s="7"/>
      <c r="E881" s="21"/>
      <c r="K881" s="7"/>
      <c r="L881" s="7"/>
      <c r="M881" s="35"/>
    </row>
    <row r="882" spans="1:13" ht="15.75" hidden="1" customHeight="1" x14ac:dyDescent="0.25">
      <c r="A882" s="7"/>
      <c r="B882" s="7"/>
      <c r="E882" s="21"/>
      <c r="K882" s="7"/>
      <c r="L882" s="7"/>
      <c r="M882" s="35"/>
    </row>
    <row r="883" spans="1:13" ht="15.75" hidden="1" customHeight="1" x14ac:dyDescent="0.25">
      <c r="A883" s="7"/>
      <c r="B883" s="7"/>
      <c r="E883" s="21"/>
      <c r="K883" s="7"/>
      <c r="L883" s="7"/>
      <c r="M883" s="35"/>
    </row>
    <row r="884" spans="1:13" ht="15.75" hidden="1" customHeight="1" x14ac:dyDescent="0.25">
      <c r="A884" s="7"/>
      <c r="B884" s="7"/>
      <c r="E884" s="21"/>
      <c r="K884" s="7"/>
      <c r="L884" s="7"/>
      <c r="M884" s="35"/>
    </row>
    <row r="885" spans="1:13" ht="15.75" hidden="1" customHeight="1" x14ac:dyDescent="0.25">
      <c r="A885" s="7"/>
      <c r="B885" s="7"/>
      <c r="E885" s="21"/>
      <c r="K885" s="7"/>
      <c r="L885" s="7"/>
      <c r="M885" s="35"/>
    </row>
    <row r="886" spans="1:13" ht="15.75" hidden="1" customHeight="1" x14ac:dyDescent="0.25">
      <c r="A886" s="7"/>
      <c r="B886" s="7"/>
      <c r="E886" s="21"/>
      <c r="K886" s="7"/>
      <c r="L886" s="7"/>
      <c r="M886" s="35"/>
    </row>
    <row r="887" spans="1:13" ht="15.75" hidden="1" customHeight="1" x14ac:dyDescent="0.25">
      <c r="A887" s="7"/>
      <c r="B887" s="7"/>
      <c r="E887" s="21"/>
      <c r="K887" s="7"/>
      <c r="L887" s="7"/>
      <c r="M887" s="35"/>
    </row>
    <row r="888" spans="1:13" ht="15.75" hidden="1" customHeight="1" x14ac:dyDescent="0.25">
      <c r="A888" s="7"/>
      <c r="B888" s="7"/>
      <c r="E888" s="21"/>
      <c r="K888" s="7"/>
      <c r="L888" s="7"/>
      <c r="M888" s="35"/>
    </row>
    <row r="889" spans="1:13" ht="15.75" hidden="1" customHeight="1" x14ac:dyDescent="0.25">
      <c r="A889" s="7"/>
      <c r="B889" s="7"/>
      <c r="E889" s="21"/>
      <c r="K889" s="7"/>
      <c r="L889" s="7"/>
      <c r="M889" s="35"/>
    </row>
    <row r="890" spans="1:13" ht="15.75" hidden="1" customHeight="1" x14ac:dyDescent="0.25">
      <c r="A890" s="7"/>
      <c r="B890" s="7"/>
      <c r="E890" s="21"/>
      <c r="K890" s="7"/>
      <c r="L890" s="7"/>
      <c r="M890" s="35"/>
    </row>
    <row r="891" spans="1:13" ht="15.75" hidden="1" customHeight="1" x14ac:dyDescent="0.25">
      <c r="A891" s="7"/>
      <c r="B891" s="7"/>
      <c r="E891" s="21"/>
      <c r="K891" s="7"/>
      <c r="L891" s="7"/>
      <c r="M891" s="35"/>
    </row>
    <row r="892" spans="1:13" ht="15.75" hidden="1" customHeight="1" x14ac:dyDescent="0.25">
      <c r="A892" s="7"/>
      <c r="B892" s="7"/>
      <c r="E892" s="21"/>
      <c r="K892" s="7"/>
      <c r="L892" s="7"/>
      <c r="M892" s="35"/>
    </row>
    <row r="893" spans="1:13" ht="15.75" hidden="1" customHeight="1" x14ac:dyDescent="0.25">
      <c r="A893" s="7"/>
      <c r="B893" s="7"/>
      <c r="E893" s="21"/>
      <c r="K893" s="7"/>
      <c r="L893" s="7"/>
      <c r="M893" s="35"/>
    </row>
    <row r="894" spans="1:13" ht="15.75" hidden="1" customHeight="1" x14ac:dyDescent="0.25">
      <c r="A894" s="7"/>
      <c r="B894" s="7"/>
      <c r="E894" s="21"/>
      <c r="K894" s="7"/>
      <c r="L894" s="7"/>
      <c r="M894" s="35"/>
    </row>
    <row r="895" spans="1:13" ht="15.75" hidden="1" customHeight="1" x14ac:dyDescent="0.25">
      <c r="A895" s="7"/>
      <c r="B895" s="7"/>
      <c r="E895" s="21"/>
      <c r="K895" s="7"/>
      <c r="L895" s="7"/>
      <c r="M895" s="35"/>
    </row>
    <row r="896" spans="1:13" ht="15.75" hidden="1" customHeight="1" x14ac:dyDescent="0.25">
      <c r="A896" s="7"/>
      <c r="B896" s="7"/>
      <c r="E896" s="21"/>
      <c r="K896" s="7"/>
      <c r="L896" s="7"/>
      <c r="M896" s="35"/>
    </row>
    <row r="897" spans="1:13" ht="15.75" hidden="1" customHeight="1" x14ac:dyDescent="0.25">
      <c r="A897" s="7"/>
      <c r="B897" s="7"/>
      <c r="E897" s="21"/>
      <c r="K897" s="7"/>
      <c r="L897" s="7"/>
      <c r="M897" s="35"/>
    </row>
    <row r="898" spans="1:13" ht="15.75" hidden="1" customHeight="1" x14ac:dyDescent="0.25">
      <c r="A898" s="7"/>
      <c r="B898" s="7"/>
      <c r="E898" s="21"/>
      <c r="K898" s="7"/>
      <c r="L898" s="7"/>
      <c r="M898" s="35"/>
    </row>
    <row r="899" spans="1:13" ht="15.75" hidden="1" customHeight="1" x14ac:dyDescent="0.25">
      <c r="A899" s="7"/>
      <c r="B899" s="7"/>
      <c r="E899" s="21"/>
      <c r="K899" s="7"/>
      <c r="L899" s="7"/>
      <c r="M899" s="35"/>
    </row>
    <row r="900" spans="1:13" ht="15.75" hidden="1" customHeight="1" x14ac:dyDescent="0.25">
      <c r="A900" s="7"/>
      <c r="B900" s="7"/>
      <c r="E900" s="21"/>
      <c r="K900" s="7"/>
      <c r="L900" s="7"/>
      <c r="M900" s="35"/>
    </row>
    <row r="901" spans="1:13" ht="15.75" hidden="1" customHeight="1" x14ac:dyDescent="0.25">
      <c r="A901" s="7"/>
      <c r="B901" s="7"/>
      <c r="E901" s="21"/>
      <c r="K901" s="7"/>
      <c r="L901" s="7"/>
      <c r="M901" s="35"/>
    </row>
    <row r="902" spans="1:13" ht="15.75" hidden="1" customHeight="1" x14ac:dyDescent="0.25">
      <c r="A902" s="7"/>
      <c r="B902" s="7"/>
      <c r="E902" s="21"/>
      <c r="K902" s="7"/>
      <c r="L902" s="7"/>
      <c r="M902" s="35"/>
    </row>
    <row r="903" spans="1:13" ht="15.75" hidden="1" customHeight="1" x14ac:dyDescent="0.25">
      <c r="A903" s="7"/>
      <c r="B903" s="7"/>
      <c r="E903" s="21"/>
      <c r="K903" s="7"/>
      <c r="L903" s="7"/>
      <c r="M903" s="35"/>
    </row>
    <row r="904" spans="1:13" ht="15.75" hidden="1" customHeight="1" x14ac:dyDescent="0.25">
      <c r="A904" s="7"/>
      <c r="B904" s="7"/>
      <c r="E904" s="21"/>
      <c r="K904" s="7"/>
      <c r="L904" s="7"/>
      <c r="M904" s="35"/>
    </row>
    <row r="905" spans="1:13" ht="15.75" hidden="1" customHeight="1" x14ac:dyDescent="0.25">
      <c r="A905" s="7"/>
      <c r="B905" s="7"/>
      <c r="E905" s="21"/>
      <c r="K905" s="7"/>
      <c r="L905" s="7"/>
      <c r="M905" s="35"/>
    </row>
    <row r="906" spans="1:13" ht="15.75" hidden="1" customHeight="1" x14ac:dyDescent="0.25">
      <c r="A906" s="7"/>
      <c r="B906" s="7"/>
      <c r="E906" s="21"/>
      <c r="K906" s="7"/>
      <c r="L906" s="7"/>
      <c r="M906" s="35"/>
    </row>
    <row r="907" spans="1:13" ht="15.75" hidden="1" customHeight="1" x14ac:dyDescent="0.25">
      <c r="A907" s="7"/>
      <c r="B907" s="7"/>
      <c r="E907" s="21"/>
      <c r="K907" s="7"/>
      <c r="L907" s="7"/>
      <c r="M907" s="35"/>
    </row>
    <row r="908" spans="1:13" ht="15.75" hidden="1" customHeight="1" x14ac:dyDescent="0.25">
      <c r="A908" s="7"/>
      <c r="B908" s="7"/>
      <c r="E908" s="21"/>
      <c r="K908" s="7"/>
      <c r="L908" s="7"/>
      <c r="M908" s="35"/>
    </row>
    <row r="909" spans="1:13" ht="15.75" hidden="1" customHeight="1" x14ac:dyDescent="0.25">
      <c r="A909" s="7"/>
      <c r="B909" s="7"/>
      <c r="E909" s="21"/>
      <c r="K909" s="7"/>
      <c r="L909" s="7"/>
      <c r="M909" s="35"/>
    </row>
    <row r="910" spans="1:13" ht="15.75" hidden="1" customHeight="1" x14ac:dyDescent="0.25">
      <c r="A910" s="7"/>
      <c r="B910" s="7"/>
      <c r="E910" s="21"/>
      <c r="K910" s="7"/>
      <c r="L910" s="7"/>
      <c r="M910" s="35"/>
    </row>
    <row r="911" spans="1:13" ht="15.75" hidden="1" customHeight="1" x14ac:dyDescent="0.25">
      <c r="A911" s="7"/>
      <c r="B911" s="7"/>
      <c r="E911" s="21"/>
      <c r="K911" s="7"/>
      <c r="L911" s="7"/>
      <c r="M911" s="35"/>
    </row>
    <row r="912" spans="1:13" ht="15.75" hidden="1" customHeight="1" x14ac:dyDescent="0.25">
      <c r="A912" s="7"/>
      <c r="B912" s="7"/>
      <c r="E912" s="21"/>
      <c r="K912" s="7"/>
      <c r="L912" s="7"/>
      <c r="M912" s="35"/>
    </row>
    <row r="913" spans="1:13" ht="15.75" hidden="1" customHeight="1" x14ac:dyDescent="0.25">
      <c r="A913" s="7"/>
      <c r="B913" s="7"/>
      <c r="E913" s="21"/>
      <c r="K913" s="7"/>
      <c r="L913" s="7"/>
      <c r="M913" s="35"/>
    </row>
    <row r="914" spans="1:13" ht="15.75" hidden="1" customHeight="1" x14ac:dyDescent="0.25">
      <c r="A914" s="7"/>
      <c r="B914" s="7"/>
      <c r="E914" s="21"/>
      <c r="K914" s="7"/>
      <c r="L914" s="7"/>
      <c r="M914" s="35"/>
    </row>
    <row r="915" spans="1:13" ht="15.75" hidden="1" customHeight="1" x14ac:dyDescent="0.25">
      <c r="A915" s="7"/>
      <c r="B915" s="7"/>
      <c r="E915" s="21"/>
      <c r="K915" s="7"/>
      <c r="L915" s="7"/>
      <c r="M915" s="35"/>
    </row>
    <row r="916" spans="1:13" ht="15.75" hidden="1" customHeight="1" x14ac:dyDescent="0.25">
      <c r="A916" s="7"/>
      <c r="B916" s="7"/>
      <c r="E916" s="21"/>
      <c r="K916" s="7"/>
      <c r="L916" s="7"/>
      <c r="M916" s="35"/>
    </row>
    <row r="917" spans="1:13" ht="15.75" hidden="1" customHeight="1" x14ac:dyDescent="0.25">
      <c r="A917" s="7"/>
      <c r="B917" s="7"/>
      <c r="E917" s="21"/>
      <c r="K917" s="7"/>
      <c r="L917" s="7"/>
      <c r="M917" s="35"/>
    </row>
    <row r="918" spans="1:13" ht="15.75" hidden="1" customHeight="1" x14ac:dyDescent="0.25">
      <c r="A918" s="7"/>
      <c r="B918" s="7"/>
      <c r="E918" s="21"/>
      <c r="K918" s="7"/>
      <c r="L918" s="7"/>
      <c r="M918" s="35"/>
    </row>
    <row r="919" spans="1:13" ht="15.75" hidden="1" customHeight="1" x14ac:dyDescent="0.25">
      <c r="A919" s="7"/>
      <c r="B919" s="7"/>
      <c r="E919" s="21"/>
      <c r="K919" s="7"/>
      <c r="L919" s="7"/>
      <c r="M919" s="35"/>
    </row>
    <row r="920" spans="1:13" ht="15.75" hidden="1" customHeight="1" x14ac:dyDescent="0.25">
      <c r="A920" s="7"/>
      <c r="B920" s="7"/>
      <c r="E920" s="21"/>
      <c r="K920" s="7"/>
      <c r="L920" s="7"/>
      <c r="M920" s="35"/>
    </row>
    <row r="921" spans="1:13" ht="15.75" hidden="1" customHeight="1" x14ac:dyDescent="0.25">
      <c r="A921" s="7"/>
      <c r="B921" s="7"/>
      <c r="E921" s="21"/>
      <c r="K921" s="7"/>
      <c r="L921" s="7"/>
      <c r="M921" s="35"/>
    </row>
    <row r="922" spans="1:13" ht="15.75" hidden="1" customHeight="1" x14ac:dyDescent="0.25">
      <c r="A922" s="7"/>
      <c r="B922" s="7"/>
      <c r="E922" s="21"/>
      <c r="K922" s="7"/>
      <c r="L922" s="7"/>
      <c r="M922" s="35"/>
    </row>
    <row r="923" spans="1:13" ht="15.75" hidden="1" customHeight="1" x14ac:dyDescent="0.25">
      <c r="A923" s="7"/>
      <c r="B923" s="7"/>
      <c r="E923" s="21"/>
      <c r="K923" s="7"/>
      <c r="L923" s="7"/>
      <c r="M923" s="35"/>
    </row>
    <row r="924" spans="1:13" ht="15.75" hidden="1" customHeight="1" x14ac:dyDescent="0.25">
      <c r="A924" s="7"/>
      <c r="B924" s="7"/>
      <c r="E924" s="21"/>
      <c r="K924" s="7"/>
      <c r="L924" s="7"/>
      <c r="M924" s="35"/>
    </row>
    <row r="925" spans="1:13" ht="15.75" hidden="1" customHeight="1" x14ac:dyDescent="0.25">
      <c r="A925" s="7"/>
      <c r="B925" s="7"/>
      <c r="E925" s="21"/>
      <c r="K925" s="7"/>
      <c r="L925" s="7"/>
      <c r="M925" s="35"/>
    </row>
    <row r="926" spans="1:13" ht="15.75" hidden="1" customHeight="1" x14ac:dyDescent="0.25">
      <c r="A926" s="7"/>
      <c r="B926" s="7"/>
      <c r="E926" s="21"/>
      <c r="K926" s="7"/>
      <c r="L926" s="7"/>
      <c r="M926" s="35"/>
    </row>
    <row r="927" spans="1:13" ht="15.75" hidden="1" customHeight="1" x14ac:dyDescent="0.25">
      <c r="A927" s="7"/>
      <c r="B927" s="7"/>
      <c r="E927" s="21"/>
      <c r="K927" s="7"/>
      <c r="L927" s="7"/>
      <c r="M927" s="35"/>
    </row>
    <row r="928" spans="1:13" ht="15.75" hidden="1" customHeight="1" x14ac:dyDescent="0.25">
      <c r="A928" s="7"/>
      <c r="B928" s="7"/>
      <c r="E928" s="21"/>
      <c r="K928" s="7"/>
      <c r="L928" s="7"/>
      <c r="M928" s="35"/>
    </row>
    <row r="929" spans="1:13" ht="15.75" hidden="1" customHeight="1" x14ac:dyDescent="0.25">
      <c r="A929" s="7"/>
      <c r="B929" s="7"/>
      <c r="E929" s="21"/>
      <c r="K929" s="7"/>
      <c r="L929" s="7"/>
      <c r="M929" s="35"/>
    </row>
    <row r="930" spans="1:13" ht="15.75" hidden="1" customHeight="1" x14ac:dyDescent="0.25">
      <c r="A930" s="7"/>
      <c r="B930" s="7"/>
      <c r="E930" s="21"/>
      <c r="K930" s="7"/>
      <c r="L930" s="7"/>
      <c r="M930" s="35"/>
    </row>
    <row r="931" spans="1:13" ht="15.75" hidden="1" customHeight="1" x14ac:dyDescent="0.25">
      <c r="A931" s="7"/>
      <c r="B931" s="7"/>
      <c r="E931" s="21"/>
      <c r="K931" s="7"/>
      <c r="L931" s="7"/>
      <c r="M931" s="35"/>
    </row>
    <row r="932" spans="1:13" ht="15.75" hidden="1" customHeight="1" x14ac:dyDescent="0.25">
      <c r="A932" s="7"/>
      <c r="B932" s="7"/>
      <c r="E932" s="21"/>
      <c r="K932" s="7"/>
      <c r="L932" s="7"/>
      <c r="M932" s="35"/>
    </row>
    <row r="933" spans="1:13" ht="15.75" hidden="1" customHeight="1" x14ac:dyDescent="0.25">
      <c r="A933" s="7"/>
      <c r="B933" s="7"/>
      <c r="E933" s="21"/>
      <c r="K933" s="7"/>
      <c r="L933" s="7"/>
      <c r="M933" s="35"/>
    </row>
    <row r="934" spans="1:13" ht="15.75" hidden="1" customHeight="1" x14ac:dyDescent="0.25">
      <c r="A934" s="7"/>
      <c r="B934" s="7"/>
      <c r="E934" s="21"/>
      <c r="K934" s="7"/>
      <c r="L934" s="7"/>
      <c r="M934" s="35"/>
    </row>
    <row r="935" spans="1:13" ht="15.75" hidden="1" customHeight="1" x14ac:dyDescent="0.25">
      <c r="A935" s="7"/>
      <c r="B935" s="7"/>
      <c r="E935" s="21"/>
      <c r="K935" s="7"/>
      <c r="L935" s="7"/>
      <c r="M935" s="35"/>
    </row>
    <row r="936" spans="1:13" ht="15.75" hidden="1" customHeight="1" x14ac:dyDescent="0.25">
      <c r="A936" s="7"/>
      <c r="B936" s="7"/>
      <c r="E936" s="21"/>
      <c r="K936" s="7"/>
      <c r="L936" s="7"/>
      <c r="M936" s="35"/>
    </row>
    <row r="937" spans="1:13" ht="15.75" hidden="1" customHeight="1" x14ac:dyDescent="0.25">
      <c r="A937" s="7"/>
      <c r="B937" s="7"/>
      <c r="E937" s="21"/>
      <c r="K937" s="7"/>
      <c r="L937" s="7"/>
      <c r="M937" s="35"/>
    </row>
    <row r="938" spans="1:13" ht="15.75" hidden="1" customHeight="1" x14ac:dyDescent="0.25">
      <c r="A938" s="7"/>
      <c r="B938" s="7"/>
      <c r="E938" s="21"/>
      <c r="K938" s="7"/>
      <c r="L938" s="7"/>
      <c r="M938" s="35"/>
    </row>
    <row r="939" spans="1:13" ht="15.75" hidden="1" customHeight="1" x14ac:dyDescent="0.25">
      <c r="A939" s="7"/>
      <c r="B939" s="7"/>
      <c r="E939" s="21"/>
      <c r="K939" s="7"/>
      <c r="L939" s="7"/>
      <c r="M939" s="35"/>
    </row>
    <row r="940" spans="1:13" ht="15.75" hidden="1" customHeight="1" x14ac:dyDescent="0.25">
      <c r="A940" s="7"/>
      <c r="B940" s="7"/>
      <c r="E940" s="21"/>
      <c r="K940" s="7"/>
      <c r="L940" s="7"/>
      <c r="M940" s="35"/>
    </row>
    <row r="941" spans="1:13" ht="15.75" hidden="1" customHeight="1" x14ac:dyDescent="0.25">
      <c r="A941" s="7"/>
      <c r="B941" s="7"/>
      <c r="E941" s="21"/>
      <c r="K941" s="7"/>
      <c r="L941" s="7"/>
      <c r="M941" s="35"/>
    </row>
    <row r="942" spans="1:13" ht="15.75" hidden="1" customHeight="1" x14ac:dyDescent="0.25">
      <c r="A942" s="7"/>
      <c r="B942" s="7"/>
      <c r="E942" s="21"/>
      <c r="K942" s="7"/>
      <c r="L942" s="7"/>
      <c r="M942" s="35"/>
    </row>
    <row r="943" spans="1:13" ht="15.75" hidden="1" customHeight="1" x14ac:dyDescent="0.25">
      <c r="A943" s="7"/>
      <c r="B943" s="7"/>
      <c r="E943" s="21"/>
      <c r="K943" s="7"/>
      <c r="L943" s="7"/>
      <c r="M943" s="35"/>
    </row>
    <row r="944" spans="1:13" ht="15.75" hidden="1" customHeight="1" x14ac:dyDescent="0.25">
      <c r="A944" s="7"/>
      <c r="B944" s="7"/>
      <c r="E944" s="21"/>
      <c r="K944" s="7"/>
      <c r="L944" s="7"/>
      <c r="M944" s="35"/>
    </row>
    <row r="945" spans="1:13" ht="15.75" hidden="1" customHeight="1" x14ac:dyDescent="0.25">
      <c r="A945" s="7"/>
      <c r="B945" s="7"/>
      <c r="E945" s="21"/>
      <c r="K945" s="7"/>
      <c r="L945" s="7"/>
      <c r="M945" s="35"/>
    </row>
    <row r="946" spans="1:13" ht="15.75" hidden="1" customHeight="1" x14ac:dyDescent="0.25">
      <c r="A946" s="7"/>
      <c r="B946" s="7"/>
      <c r="E946" s="21"/>
      <c r="K946" s="7"/>
      <c r="L946" s="7"/>
      <c r="M946" s="35"/>
    </row>
    <row r="947" spans="1:13" ht="15.75" hidden="1" customHeight="1" x14ac:dyDescent="0.25">
      <c r="A947" s="7"/>
      <c r="B947" s="7"/>
      <c r="E947" s="21"/>
      <c r="K947" s="7"/>
      <c r="L947" s="7"/>
      <c r="M947" s="35"/>
    </row>
    <row r="948" spans="1:13" ht="15.75" hidden="1" customHeight="1" x14ac:dyDescent="0.25">
      <c r="A948" s="7"/>
      <c r="B948" s="7"/>
      <c r="E948" s="21"/>
      <c r="K948" s="7"/>
      <c r="L948" s="7"/>
      <c r="M948" s="35"/>
    </row>
    <row r="949" spans="1:13" ht="15.75" hidden="1" customHeight="1" x14ac:dyDescent="0.25">
      <c r="A949" s="7"/>
      <c r="B949" s="7"/>
      <c r="E949" s="21"/>
      <c r="K949" s="7"/>
      <c r="L949" s="7"/>
      <c r="M949" s="35"/>
    </row>
    <row r="950" spans="1:13" ht="15.75" hidden="1" customHeight="1" x14ac:dyDescent="0.25">
      <c r="A950" s="7"/>
      <c r="B950" s="7"/>
      <c r="E950" s="21"/>
      <c r="K950" s="7"/>
      <c r="L950" s="7"/>
      <c r="M950" s="35"/>
    </row>
    <row r="951" spans="1:13" ht="15.75" hidden="1" customHeight="1" x14ac:dyDescent="0.25">
      <c r="A951" s="7"/>
      <c r="B951" s="7"/>
      <c r="E951" s="21"/>
      <c r="K951" s="7"/>
      <c r="L951" s="7"/>
      <c r="M951" s="35"/>
    </row>
    <row r="952" spans="1:13" ht="15.75" hidden="1" customHeight="1" x14ac:dyDescent="0.25">
      <c r="A952" s="7"/>
      <c r="B952" s="7"/>
      <c r="E952" s="21"/>
      <c r="K952" s="7"/>
      <c r="L952" s="7"/>
      <c r="M952" s="35"/>
    </row>
    <row r="953" spans="1:13" ht="15.75" hidden="1" customHeight="1" x14ac:dyDescent="0.25">
      <c r="A953" s="7"/>
      <c r="B953" s="7"/>
      <c r="E953" s="21"/>
      <c r="K953" s="7"/>
      <c r="L953" s="7"/>
      <c r="M953" s="35"/>
    </row>
    <row r="954" spans="1:13" ht="15.75" hidden="1" customHeight="1" x14ac:dyDescent="0.25">
      <c r="A954" s="7"/>
      <c r="B954" s="7"/>
      <c r="E954" s="21"/>
      <c r="K954" s="7"/>
      <c r="L954" s="7"/>
      <c r="M954" s="35"/>
    </row>
    <row r="955" spans="1:13" ht="15.75" hidden="1" customHeight="1" x14ac:dyDescent="0.25">
      <c r="A955" s="7"/>
      <c r="B955" s="7"/>
      <c r="E955" s="21"/>
      <c r="K955" s="7"/>
      <c r="L955" s="7"/>
      <c r="M955" s="35"/>
    </row>
    <row r="956" spans="1:13" ht="15.75" hidden="1" customHeight="1" x14ac:dyDescent="0.25">
      <c r="A956" s="7"/>
      <c r="B956" s="7"/>
      <c r="E956" s="21"/>
      <c r="K956" s="7"/>
      <c r="L956" s="7"/>
      <c r="M956" s="35"/>
    </row>
    <row r="957" spans="1:13" ht="15.75" hidden="1" customHeight="1" x14ac:dyDescent="0.25">
      <c r="A957" s="7"/>
      <c r="B957" s="7"/>
      <c r="E957" s="21"/>
      <c r="K957" s="7"/>
      <c r="L957" s="7"/>
      <c r="M957" s="35"/>
    </row>
    <row r="958" spans="1:13" ht="15.75" hidden="1" customHeight="1" x14ac:dyDescent="0.25">
      <c r="A958" s="7"/>
      <c r="B958" s="7"/>
      <c r="E958" s="21"/>
      <c r="K958" s="7"/>
      <c r="L958" s="7"/>
      <c r="M958" s="35"/>
    </row>
    <row r="959" spans="1:13" ht="15.75" hidden="1" customHeight="1" x14ac:dyDescent="0.25">
      <c r="A959" s="7"/>
      <c r="B959" s="7"/>
      <c r="E959" s="21"/>
      <c r="K959" s="7"/>
      <c r="L959" s="7"/>
      <c r="M959" s="35"/>
    </row>
    <row r="960" spans="1:13" ht="15.75" hidden="1" customHeight="1" x14ac:dyDescent="0.25">
      <c r="A960" s="7"/>
      <c r="B960" s="7"/>
      <c r="E960" s="21"/>
      <c r="K960" s="7"/>
      <c r="L960" s="7"/>
      <c r="M960" s="35"/>
    </row>
    <row r="961" spans="1:13" ht="15.75" hidden="1" customHeight="1" x14ac:dyDescent="0.25">
      <c r="A961" s="7"/>
      <c r="B961" s="7"/>
      <c r="E961" s="21"/>
      <c r="K961" s="7"/>
      <c r="L961" s="7"/>
      <c r="M961" s="35"/>
    </row>
    <row r="962" spans="1:13" ht="15.75" hidden="1" customHeight="1" x14ac:dyDescent="0.25">
      <c r="A962" s="7"/>
      <c r="B962" s="7"/>
      <c r="E962" s="21"/>
      <c r="K962" s="7"/>
      <c r="L962" s="7"/>
      <c r="M962" s="35"/>
    </row>
    <row r="963" spans="1:13" ht="15.75" hidden="1" customHeight="1" x14ac:dyDescent="0.25">
      <c r="A963" s="7"/>
      <c r="B963" s="7"/>
      <c r="E963" s="21"/>
      <c r="K963" s="7"/>
      <c r="L963" s="7"/>
      <c r="M963" s="35"/>
    </row>
    <row r="964" spans="1:13" ht="15.75" hidden="1" customHeight="1" x14ac:dyDescent="0.25">
      <c r="A964" s="7"/>
      <c r="B964" s="7"/>
      <c r="E964" s="21"/>
      <c r="K964" s="7"/>
      <c r="L964" s="7"/>
      <c r="M964" s="35"/>
    </row>
    <row r="965" spans="1:13" ht="15.75" hidden="1" customHeight="1" x14ac:dyDescent="0.25">
      <c r="A965" s="7"/>
      <c r="B965" s="7"/>
      <c r="E965" s="21"/>
      <c r="K965" s="7"/>
      <c r="L965" s="7"/>
      <c r="M965" s="35"/>
    </row>
    <row r="966" spans="1:13" ht="15.75" hidden="1" customHeight="1" x14ac:dyDescent="0.25">
      <c r="A966" s="7"/>
      <c r="B966" s="7"/>
      <c r="E966" s="21"/>
      <c r="K966" s="7"/>
      <c r="L966" s="7"/>
      <c r="M966" s="35"/>
    </row>
    <row r="967" spans="1:13" ht="15.75" hidden="1" customHeight="1" x14ac:dyDescent="0.25">
      <c r="A967" s="7"/>
      <c r="B967" s="7"/>
      <c r="E967" s="21"/>
      <c r="K967" s="7"/>
      <c r="L967" s="7"/>
      <c r="M967" s="35"/>
    </row>
    <row r="968" spans="1:13" ht="15.75" hidden="1" customHeight="1" x14ac:dyDescent="0.25">
      <c r="A968" s="7"/>
      <c r="B968" s="7"/>
      <c r="E968" s="21"/>
      <c r="K968" s="7"/>
      <c r="L968" s="7"/>
      <c r="M968" s="35"/>
    </row>
    <row r="969" spans="1:13" ht="15.75" hidden="1" customHeight="1" x14ac:dyDescent="0.25">
      <c r="A969" s="7"/>
      <c r="B969" s="7"/>
      <c r="E969" s="21"/>
      <c r="K969" s="7"/>
      <c r="L969" s="7"/>
      <c r="M969" s="35"/>
    </row>
    <row r="970" spans="1:13" ht="15.75" hidden="1" customHeight="1" x14ac:dyDescent="0.25">
      <c r="A970" s="7"/>
      <c r="B970" s="7"/>
      <c r="E970" s="21"/>
      <c r="K970" s="7"/>
      <c r="L970" s="7"/>
      <c r="M970" s="35"/>
    </row>
    <row r="971" spans="1:13" ht="15.75" hidden="1" customHeight="1" x14ac:dyDescent="0.25">
      <c r="A971" s="7"/>
      <c r="B971" s="7"/>
      <c r="E971" s="21"/>
      <c r="K971" s="7"/>
      <c r="L971" s="7"/>
      <c r="M971" s="35"/>
    </row>
    <row r="972" spans="1:13" ht="15.75" hidden="1" customHeight="1" x14ac:dyDescent="0.25">
      <c r="A972" s="7"/>
      <c r="B972" s="7"/>
      <c r="E972" s="21"/>
      <c r="K972" s="7"/>
      <c r="L972" s="7"/>
      <c r="M972" s="35"/>
    </row>
    <row r="973" spans="1:13" ht="15.75" hidden="1" customHeight="1" x14ac:dyDescent="0.25">
      <c r="A973" s="7"/>
      <c r="B973" s="7"/>
      <c r="E973" s="21"/>
      <c r="K973" s="7"/>
      <c r="L973" s="7"/>
      <c r="M973" s="35"/>
    </row>
    <row r="974" spans="1:13" ht="15.75" hidden="1" customHeight="1" x14ac:dyDescent="0.25">
      <c r="A974" s="7"/>
      <c r="B974" s="7"/>
      <c r="E974" s="21"/>
      <c r="K974" s="7"/>
      <c r="L974" s="7"/>
      <c r="M974" s="35"/>
    </row>
    <row r="975" spans="1:13" ht="15.75" hidden="1" customHeight="1" x14ac:dyDescent="0.25">
      <c r="A975" s="7"/>
      <c r="B975" s="7"/>
      <c r="E975" s="21"/>
      <c r="K975" s="7"/>
      <c r="L975" s="7"/>
      <c r="M975" s="35"/>
    </row>
    <row r="976" spans="1:13" ht="15.75" hidden="1" customHeight="1" x14ac:dyDescent="0.25">
      <c r="A976" s="7"/>
      <c r="B976" s="7"/>
      <c r="E976" s="21"/>
      <c r="K976" s="7"/>
      <c r="L976" s="7"/>
      <c r="M976" s="35"/>
    </row>
    <row r="977" spans="1:13" ht="15.75" hidden="1" customHeight="1" x14ac:dyDescent="0.25">
      <c r="A977" s="7"/>
      <c r="B977" s="7"/>
      <c r="E977" s="21"/>
      <c r="K977" s="7"/>
      <c r="L977" s="7"/>
      <c r="M977" s="35"/>
    </row>
    <row r="978" spans="1:13" ht="15.75" hidden="1" customHeight="1" x14ac:dyDescent="0.25">
      <c r="A978" s="7"/>
      <c r="B978" s="7"/>
      <c r="E978" s="21"/>
      <c r="K978" s="7"/>
      <c r="L978" s="7"/>
      <c r="M978" s="35"/>
    </row>
    <row r="979" spans="1:13" ht="15.75" hidden="1" customHeight="1" x14ac:dyDescent="0.25">
      <c r="A979" s="7"/>
      <c r="B979" s="7"/>
      <c r="E979" s="21"/>
      <c r="K979" s="7"/>
      <c r="L979" s="7"/>
      <c r="M979" s="35"/>
    </row>
    <row r="980" spans="1:13" ht="15.75" hidden="1" customHeight="1" x14ac:dyDescent="0.25">
      <c r="A980" s="7"/>
      <c r="B980" s="7"/>
      <c r="E980" s="21"/>
      <c r="K980" s="7"/>
      <c r="L980" s="7"/>
      <c r="M980" s="35"/>
    </row>
    <row r="981" spans="1:13" ht="15.75" hidden="1" customHeight="1" x14ac:dyDescent="0.25">
      <c r="A981" s="7"/>
      <c r="B981" s="7"/>
      <c r="E981" s="21"/>
      <c r="K981" s="7"/>
      <c r="L981" s="7"/>
      <c r="M981" s="35"/>
    </row>
    <row r="982" spans="1:13" ht="15.75" hidden="1" customHeight="1" x14ac:dyDescent="0.25">
      <c r="A982" s="7"/>
      <c r="B982" s="7"/>
      <c r="E982" s="21"/>
      <c r="K982" s="7"/>
      <c r="L982" s="7"/>
      <c r="M982" s="35"/>
    </row>
    <row r="983" spans="1:13" ht="15.75" hidden="1" customHeight="1" x14ac:dyDescent="0.25">
      <c r="A983" s="7"/>
      <c r="B983" s="7"/>
      <c r="E983" s="21"/>
      <c r="K983" s="7"/>
      <c r="L983" s="7"/>
      <c r="M983" s="35"/>
    </row>
    <row r="984" spans="1:13" ht="15.75" hidden="1" customHeight="1" x14ac:dyDescent="0.25">
      <c r="A984" s="7"/>
      <c r="B984" s="7"/>
      <c r="E984" s="21"/>
      <c r="K984" s="7"/>
      <c r="L984" s="7"/>
      <c r="M984" s="35"/>
    </row>
    <row r="985" spans="1:13" ht="15.75" hidden="1" customHeight="1" x14ac:dyDescent="0.25">
      <c r="A985" s="7"/>
      <c r="B985" s="7"/>
      <c r="E985" s="21"/>
      <c r="K985" s="7"/>
      <c r="L985" s="7"/>
      <c r="M985" s="35"/>
    </row>
    <row r="986" spans="1:13" ht="15.75" hidden="1" customHeight="1" x14ac:dyDescent="0.25">
      <c r="A986" s="7"/>
      <c r="B986" s="7"/>
      <c r="E986" s="21"/>
      <c r="K986" s="7"/>
      <c r="L986" s="7"/>
      <c r="M986" s="35"/>
    </row>
    <row r="987" spans="1:13" ht="15.75" hidden="1" customHeight="1" x14ac:dyDescent="0.25">
      <c r="A987" s="7"/>
      <c r="B987" s="7"/>
      <c r="E987" s="21"/>
      <c r="K987" s="7"/>
      <c r="L987" s="7"/>
      <c r="M987" s="35"/>
    </row>
    <row r="988" spans="1:13" ht="15.75" hidden="1" customHeight="1" x14ac:dyDescent="0.25">
      <c r="A988" s="7"/>
      <c r="B988" s="7"/>
      <c r="E988" s="21"/>
      <c r="K988" s="7"/>
      <c r="L988" s="7"/>
      <c r="M988" s="35"/>
    </row>
    <row r="989" spans="1:13" ht="15.75" hidden="1" customHeight="1" x14ac:dyDescent="0.25">
      <c r="A989" s="7"/>
      <c r="B989" s="7"/>
      <c r="E989" s="21"/>
      <c r="K989" s="7"/>
      <c r="L989" s="7"/>
      <c r="M989" s="35"/>
    </row>
    <row r="990" spans="1:13" ht="15.75" hidden="1" customHeight="1" x14ac:dyDescent="0.25">
      <c r="A990" s="7"/>
      <c r="B990" s="7"/>
      <c r="E990" s="21"/>
      <c r="K990" s="7"/>
      <c r="L990" s="7"/>
      <c r="M990" s="35"/>
    </row>
    <row r="991" spans="1:13" ht="15.75" hidden="1" customHeight="1" x14ac:dyDescent="0.25">
      <c r="A991" s="7"/>
      <c r="B991" s="7"/>
      <c r="E991" s="21"/>
      <c r="K991" s="7"/>
      <c r="L991" s="7"/>
      <c r="M991" s="35"/>
    </row>
    <row r="992" spans="1:13" ht="15.75" hidden="1" customHeight="1" x14ac:dyDescent="0.25">
      <c r="A992" s="7"/>
      <c r="B992" s="7"/>
      <c r="E992" s="21"/>
      <c r="K992" s="7"/>
      <c r="L992" s="7"/>
      <c r="M992" s="35"/>
    </row>
    <row r="993" spans="1:13" ht="15.75" hidden="1" customHeight="1" x14ac:dyDescent="0.25">
      <c r="A993" s="7"/>
      <c r="B993" s="7"/>
      <c r="E993" s="21"/>
      <c r="K993" s="7"/>
      <c r="L993" s="7"/>
      <c r="M993" s="35"/>
    </row>
    <row r="994" spans="1:13" ht="15.75" hidden="1" customHeight="1" x14ac:dyDescent="0.25">
      <c r="A994" s="7"/>
      <c r="B994" s="7"/>
      <c r="E994" s="21"/>
      <c r="K994" s="7"/>
      <c r="L994" s="7"/>
      <c r="M994" s="35"/>
    </row>
    <row r="995" spans="1:13" ht="15.75" hidden="1" customHeight="1" x14ac:dyDescent="0.25">
      <c r="A995" s="7"/>
      <c r="B995" s="7"/>
      <c r="E995" s="21"/>
      <c r="K995" s="7"/>
      <c r="L995" s="7"/>
      <c r="M995" s="35"/>
    </row>
    <row r="996" spans="1:13" ht="15.75" hidden="1" customHeight="1" x14ac:dyDescent="0.25">
      <c r="A996" s="7"/>
      <c r="B996" s="7"/>
      <c r="E996" s="21"/>
      <c r="K996" s="7"/>
      <c r="L996" s="7"/>
      <c r="M996" s="35"/>
    </row>
    <row r="997" spans="1:13" ht="15.75" hidden="1" customHeight="1" x14ac:dyDescent="0.25">
      <c r="A997" s="7"/>
      <c r="B997" s="7"/>
      <c r="E997" s="21"/>
      <c r="K997" s="7"/>
      <c r="L997" s="7"/>
      <c r="M997" s="35"/>
    </row>
    <row r="998" spans="1:13" ht="15.75" hidden="1" customHeight="1" x14ac:dyDescent="0.25">
      <c r="A998" s="7"/>
      <c r="B998" s="7"/>
      <c r="E998" s="21"/>
      <c r="K998" s="7"/>
      <c r="L998" s="7"/>
      <c r="M998" s="35"/>
    </row>
    <row r="999" spans="1:13" ht="15.75" hidden="1" customHeight="1" x14ac:dyDescent="0.25">
      <c r="A999" s="7"/>
      <c r="B999" s="7"/>
      <c r="E999" s="21"/>
      <c r="K999" s="7"/>
      <c r="L999" s="7"/>
      <c r="M999" s="35"/>
    </row>
    <row r="1000" spans="1:13" ht="15.75" hidden="1" customHeight="1" x14ac:dyDescent="0.25">
      <c r="A1000" s="7"/>
      <c r="B1000" s="7"/>
      <c r="E1000" s="21"/>
      <c r="K1000" s="7"/>
      <c r="L1000" s="7"/>
      <c r="M1000" s="35"/>
    </row>
    <row r="1001" spans="1:13" ht="15.75" hidden="1" customHeight="1" x14ac:dyDescent="0.25">
      <c r="A1001" s="7"/>
      <c r="B1001" s="7"/>
      <c r="E1001" s="21"/>
      <c r="K1001" s="7"/>
      <c r="L1001" s="7"/>
      <c r="M1001" s="35"/>
    </row>
  </sheetData>
  <sheetProtection algorithmName="SHA-512" hashValue="OAIXhPNvy9DAQ+vbbolNeXnBHA/CdwA+ouZtWcUsjD9nUDactdq+uxGESYhf+3NtuBtbZaGl3gKb1+iUXDR+eA==" saltValue="pQGySU5sfGZukNobn9TXHg==" spinCount="100000" sheet="1" objects="1" scenarios="1"/>
  <mergeCells count="41">
    <mergeCell ref="F29:F30"/>
    <mergeCell ref="J114:J115"/>
    <mergeCell ref="I2:I3"/>
    <mergeCell ref="J12:J13"/>
    <mergeCell ref="J29:J30"/>
    <mergeCell ref="J46:J47"/>
    <mergeCell ref="J63:J64"/>
    <mergeCell ref="D25:J25"/>
    <mergeCell ref="D42:J42"/>
    <mergeCell ref="D59:J59"/>
    <mergeCell ref="H2:H3"/>
    <mergeCell ref="F12:F13"/>
    <mergeCell ref="G2:G3"/>
    <mergeCell ref="D3:D4"/>
    <mergeCell ref="E29:E30"/>
    <mergeCell ref="D29:D30"/>
    <mergeCell ref="E12:E13"/>
    <mergeCell ref="F80:F81"/>
    <mergeCell ref="D80:D81"/>
    <mergeCell ref="D97:D98"/>
    <mergeCell ref="F97:F98"/>
    <mergeCell ref="E80:E81"/>
    <mergeCell ref="D93:J93"/>
    <mergeCell ref="J80:J81"/>
    <mergeCell ref="J97:J98"/>
    <mergeCell ref="E2:E3"/>
    <mergeCell ref="F2:F3"/>
    <mergeCell ref="D12:D13"/>
    <mergeCell ref="D127:J127"/>
    <mergeCell ref="D46:D47"/>
    <mergeCell ref="D63:D64"/>
    <mergeCell ref="F63:F64"/>
    <mergeCell ref="D110:J110"/>
    <mergeCell ref="E63:E64"/>
    <mergeCell ref="E114:E115"/>
    <mergeCell ref="E97:E98"/>
    <mergeCell ref="F46:F47"/>
    <mergeCell ref="E46:E47"/>
    <mergeCell ref="D76:J76"/>
    <mergeCell ref="D114:D115"/>
    <mergeCell ref="F114:F115"/>
  </mergeCells>
  <conditionalFormatting sqref="G4:G7">
    <cfRule type="cellIs" dxfId="3" priority="1" operator="between">
      <formula>-5</formula>
      <formula>5</formula>
    </cfRule>
    <cfRule type="expression" dxfId="2" priority="3">
      <formula>IF(OR(AND(G4&gt;5,G4&lt;=10),AND(G4&lt;-5,G4&gt;=-10)),1,0)</formula>
    </cfRule>
    <cfRule type="expression" dxfId="1" priority="4">
      <formula>IF(OR(G4&gt;10,G4&lt;-10),1,0)</formula>
    </cfRule>
  </conditionalFormatting>
  <dataValidations count="1">
    <dataValidation type="list" allowBlank="1" showInputMessage="1" showErrorMessage="1" sqref="D14:D24 D31:D41 D48:D58 D65:D75 D82:D92 D99:D109 D116:D126">
      <formula1>INDIRECT(SUBSTITUTE($D$3," ","_"))</formula1>
    </dataValidation>
  </dataValidations>
  <pageMargins left="0.7" right="0.7" top="0.75" bottom="0.75" header="0" footer="0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>
          <x14:formula1>
            <xm:f>'FOOD SHEET 1'!$K$3:$K$9</xm:f>
          </x14:formula1>
          <xm:sqref>D3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00"/>
  <sheetViews>
    <sheetView topLeftCell="C23" zoomScale="70" zoomScaleNormal="70" workbookViewId="0">
      <selection activeCell="R36" sqref="R36"/>
    </sheetView>
  </sheetViews>
  <sheetFormatPr defaultColWidth="14.42578125" defaultRowHeight="15" customHeight="1" x14ac:dyDescent="0.25"/>
  <cols>
    <col min="1" max="1" width="9.140625" customWidth="1"/>
    <col min="2" max="2" width="45.7109375" customWidth="1"/>
    <col min="3" max="3" width="8.85546875" customWidth="1"/>
    <col min="4" max="4" width="8.140625" customWidth="1"/>
    <col min="5" max="7" width="8.7109375" customWidth="1"/>
    <col min="8" max="8" width="13.140625" customWidth="1"/>
    <col min="9" max="10" width="8.7109375" customWidth="1"/>
    <col min="11" max="11" width="39.28515625" customWidth="1"/>
    <col min="12" max="16" width="8.7109375" customWidth="1"/>
    <col min="17" max="17" width="14.28515625" bestFit="1" customWidth="1"/>
    <col min="18" max="18" width="8.42578125" customWidth="1"/>
    <col min="19" max="26" width="8.7109375" customWidth="1"/>
  </cols>
  <sheetData>
    <row r="1" spans="1:21" ht="18.75" x14ac:dyDescent="0.3">
      <c r="A1" s="1"/>
      <c r="B1" s="173" t="s">
        <v>2</v>
      </c>
      <c r="C1" s="174"/>
      <c r="D1" s="174"/>
      <c r="E1" s="174"/>
      <c r="F1" s="174"/>
      <c r="G1" s="174"/>
      <c r="H1" s="134"/>
      <c r="I1" s="1"/>
    </row>
    <row r="2" spans="1:21" x14ac:dyDescent="0.25">
      <c r="A2" s="1"/>
      <c r="B2" s="8" t="s">
        <v>8</v>
      </c>
      <c r="C2" s="8" t="s">
        <v>11</v>
      </c>
      <c r="D2" s="9" t="e">
        <f>VLOOKUP(B2,'Nutrition Plan'!$D$14:$F$24,3,0)</f>
        <v>#N/A</v>
      </c>
      <c r="E2" s="10" t="e">
        <f>D2/(1/10)</f>
        <v>#N/A</v>
      </c>
      <c r="F2" s="11" t="e">
        <f>D2/(1/0.2)</f>
        <v>#N/A</v>
      </c>
      <c r="G2" s="10" t="e">
        <f>D2/(1/50)</f>
        <v>#N/A</v>
      </c>
      <c r="H2" s="12" t="e">
        <f t="shared" ref="H2:H26" si="0">(E2*4)+(F2*9)+(G2*4)</f>
        <v>#N/A</v>
      </c>
      <c r="I2" s="1"/>
    </row>
    <row r="3" spans="1:21" x14ac:dyDescent="0.25">
      <c r="A3" s="1"/>
      <c r="B3" s="8" t="s">
        <v>21</v>
      </c>
      <c r="C3" s="8" t="s">
        <v>22</v>
      </c>
      <c r="D3" s="9" t="e">
        <f>VLOOKUP(B3,'Nutrition Plan'!$D$14:$F$24,3,0)</f>
        <v>#N/A</v>
      </c>
      <c r="E3" s="10" t="e">
        <f>D3/(1/4)</f>
        <v>#N/A</v>
      </c>
      <c r="F3" s="11" t="e">
        <f>D3/(1/0.5)</f>
        <v>#N/A</v>
      </c>
      <c r="G3" s="10" t="e">
        <f>D3/(1/15)</f>
        <v>#N/A</v>
      </c>
      <c r="H3" s="12" t="e">
        <f t="shared" si="0"/>
        <v>#N/A</v>
      </c>
      <c r="I3" s="1"/>
      <c r="K3" s="7" t="s">
        <v>168</v>
      </c>
      <c r="M3">
        <v>1</v>
      </c>
      <c r="N3">
        <v>0.3</v>
      </c>
      <c r="O3">
        <v>5</v>
      </c>
      <c r="P3">
        <v>1</v>
      </c>
      <c r="Q3" s="44" t="s">
        <v>208</v>
      </c>
    </row>
    <row r="4" spans="1:21" x14ac:dyDescent="0.25">
      <c r="A4" s="1"/>
      <c r="B4" s="8" t="s">
        <v>25</v>
      </c>
      <c r="C4" s="8" t="s">
        <v>7</v>
      </c>
      <c r="D4" s="9" t="e">
        <f>VLOOKUP(B4,'Nutrition Plan'!$D$14:$F$24,3,0)</f>
        <v>#N/A</v>
      </c>
      <c r="E4" s="10" t="e">
        <f>D4/(28/3)</f>
        <v>#N/A</v>
      </c>
      <c r="F4" s="11" t="e">
        <f>D4/(28/2)</f>
        <v>#N/A</v>
      </c>
      <c r="G4" s="10" t="e">
        <f>D4/(28/20)</f>
        <v>#N/A</v>
      </c>
      <c r="H4" s="12" t="e">
        <f t="shared" si="0"/>
        <v>#N/A</v>
      </c>
      <c r="I4" s="1"/>
      <c r="K4" s="7" t="s">
        <v>26</v>
      </c>
      <c r="M4">
        <v>1.1000000000000001</v>
      </c>
      <c r="N4">
        <v>0.31</v>
      </c>
      <c r="O4">
        <v>6</v>
      </c>
      <c r="P4">
        <v>2</v>
      </c>
      <c r="Q4" s="44" t="s">
        <v>209</v>
      </c>
    </row>
    <row r="5" spans="1:21" x14ac:dyDescent="0.25">
      <c r="A5" s="1"/>
      <c r="B5" s="8" t="s">
        <v>27</v>
      </c>
      <c r="C5" s="8" t="s">
        <v>7</v>
      </c>
      <c r="D5" s="9" t="e">
        <f>VLOOKUP(B5,'Nutrition Plan'!$D$14:$F$24,3,0)</f>
        <v>#N/A</v>
      </c>
      <c r="E5" s="10" t="e">
        <f>D5/(57/8)</f>
        <v>#N/A</v>
      </c>
      <c r="F5" s="11">
        <v>0</v>
      </c>
      <c r="G5" s="10" t="e">
        <f>D5/(57/40)</f>
        <v>#N/A</v>
      </c>
      <c r="H5" s="12" t="e">
        <f t="shared" si="0"/>
        <v>#N/A</v>
      </c>
      <c r="I5" s="1"/>
      <c r="K5" s="7" t="s">
        <v>169</v>
      </c>
      <c r="M5">
        <v>1.2</v>
      </c>
      <c r="N5">
        <v>0.32</v>
      </c>
      <c r="O5">
        <v>7</v>
      </c>
      <c r="P5">
        <v>3</v>
      </c>
      <c r="Q5" s="44" t="s">
        <v>210</v>
      </c>
    </row>
    <row r="6" spans="1:21" x14ac:dyDescent="0.25">
      <c r="A6" s="1"/>
      <c r="B6" s="8" t="s">
        <v>28</v>
      </c>
      <c r="C6" s="8" t="s">
        <v>7</v>
      </c>
      <c r="D6" s="9" t="e">
        <f>VLOOKUP(B6,'Nutrition Plan'!$D$14:$F$24,3,0)</f>
        <v>#N/A</v>
      </c>
      <c r="E6" s="10" t="e">
        <f>D6/(14/1)</f>
        <v>#N/A</v>
      </c>
      <c r="F6" s="11">
        <f>0</f>
        <v>0</v>
      </c>
      <c r="G6" s="10" t="e">
        <f>D6/(14/12)</f>
        <v>#N/A</v>
      </c>
      <c r="H6" s="12" t="e">
        <f t="shared" si="0"/>
        <v>#N/A</v>
      </c>
      <c r="I6" s="1"/>
      <c r="K6" s="7" t="s">
        <v>33</v>
      </c>
      <c r="M6">
        <v>1.3</v>
      </c>
      <c r="N6" s="23">
        <v>0.33</v>
      </c>
      <c r="O6">
        <v>8</v>
      </c>
      <c r="P6">
        <v>4</v>
      </c>
      <c r="Q6" s="44" t="s">
        <v>211</v>
      </c>
    </row>
    <row r="7" spans="1:21" x14ac:dyDescent="0.25">
      <c r="A7" s="1"/>
      <c r="B7" s="8" t="s">
        <v>34</v>
      </c>
      <c r="C7" s="8" t="s">
        <v>7</v>
      </c>
      <c r="D7" s="9" t="e">
        <f>VLOOKUP(B7,'Nutrition Plan'!$D$14:$F$24,3,0)</f>
        <v>#N/A</v>
      </c>
      <c r="E7" s="10" t="e">
        <f>D7/(30/2)</f>
        <v>#N/A</v>
      </c>
      <c r="F7" s="11" t="e">
        <f>D7/(30/1)</f>
        <v>#N/A</v>
      </c>
      <c r="G7" s="10" t="e">
        <f>D7/(30/11)</f>
        <v>#N/A</v>
      </c>
      <c r="H7" s="12" t="e">
        <f t="shared" si="0"/>
        <v>#N/A</v>
      </c>
      <c r="I7" s="1"/>
      <c r="K7" s="7" t="s">
        <v>36</v>
      </c>
      <c r="M7">
        <v>1.4</v>
      </c>
      <c r="N7" s="23">
        <v>0.34</v>
      </c>
      <c r="O7">
        <v>9</v>
      </c>
      <c r="P7">
        <v>5</v>
      </c>
    </row>
    <row r="8" spans="1:21" x14ac:dyDescent="0.25">
      <c r="A8" s="1"/>
      <c r="B8" s="8" t="s">
        <v>170</v>
      </c>
      <c r="C8" s="8" t="s">
        <v>7</v>
      </c>
      <c r="D8" s="9" t="e">
        <f>VLOOKUP(B8,'Nutrition Plan'!$D$14:$F$24,3,0)</f>
        <v>#N/A</v>
      </c>
      <c r="E8" s="10" t="e">
        <f>D8/(100/2)</f>
        <v>#N/A</v>
      </c>
      <c r="F8" s="11">
        <f>0</f>
        <v>0</v>
      </c>
      <c r="G8" s="10" t="e">
        <f>D8/(100/82.4)</f>
        <v>#N/A</v>
      </c>
      <c r="H8" s="12" t="e">
        <f t="shared" si="0"/>
        <v>#N/A</v>
      </c>
      <c r="I8" s="1"/>
      <c r="K8" s="7" t="s">
        <v>37</v>
      </c>
      <c r="M8" s="43">
        <v>1.5</v>
      </c>
      <c r="N8" s="23">
        <v>0.35</v>
      </c>
      <c r="O8">
        <v>10</v>
      </c>
      <c r="P8">
        <v>6</v>
      </c>
    </row>
    <row r="9" spans="1:21" x14ac:dyDescent="0.25">
      <c r="A9" s="1"/>
      <c r="B9" s="8" t="s">
        <v>171</v>
      </c>
      <c r="C9" s="8" t="s">
        <v>7</v>
      </c>
      <c r="D9" s="9" t="e">
        <f>VLOOKUP(B9,'Nutrition Plan'!$D$14:$F$24,3,0)</f>
        <v>#N/A</v>
      </c>
      <c r="E9" s="10">
        <v>0</v>
      </c>
      <c r="F9" s="11">
        <v>0</v>
      </c>
      <c r="G9" s="10" t="e">
        <f>D9/(28/4)</f>
        <v>#N/A</v>
      </c>
      <c r="H9" s="12" t="e">
        <f t="shared" si="0"/>
        <v>#N/A</v>
      </c>
      <c r="I9" s="1"/>
      <c r="M9" s="43">
        <v>1.6</v>
      </c>
      <c r="N9" s="23">
        <v>0.36</v>
      </c>
      <c r="O9">
        <v>11</v>
      </c>
      <c r="P9">
        <v>7</v>
      </c>
    </row>
    <row r="10" spans="1:21" x14ac:dyDescent="0.25">
      <c r="A10" s="1"/>
      <c r="B10" s="8" t="s">
        <v>172</v>
      </c>
      <c r="C10" s="8" t="s">
        <v>7</v>
      </c>
      <c r="D10" s="9" t="e">
        <f>VLOOKUP(B10,'Nutrition Plan'!$D$14:$F$24,3,0)</f>
        <v>#N/A</v>
      </c>
      <c r="E10" s="10" t="e">
        <f>D10/(45/7)</f>
        <v>#N/A</v>
      </c>
      <c r="F10" s="11" t="e">
        <f>D10/(45/3)</f>
        <v>#N/A</v>
      </c>
      <c r="G10" s="10" t="e">
        <f>D10/(45/30)</f>
        <v>#N/A</v>
      </c>
      <c r="H10" s="12" t="e">
        <f t="shared" si="0"/>
        <v>#N/A</v>
      </c>
      <c r="I10" s="1"/>
      <c r="M10" s="43">
        <v>1.7</v>
      </c>
      <c r="N10" s="23">
        <v>0.37</v>
      </c>
      <c r="O10">
        <v>12</v>
      </c>
    </row>
    <row r="11" spans="1:21" x14ac:dyDescent="0.25">
      <c r="A11" s="1"/>
      <c r="B11" s="8" t="s">
        <v>38</v>
      </c>
      <c r="C11" s="8" t="s">
        <v>7</v>
      </c>
      <c r="D11" s="9" t="e">
        <f>VLOOKUP(B11,'Nutrition Plan'!$D$14:$F$24,3,0)</f>
        <v>#N/A</v>
      </c>
      <c r="E11" s="10" t="e">
        <f t="shared" ref="E11:E12" si="1">D11/(40/5)</f>
        <v>#N/A</v>
      </c>
      <c r="F11" s="11" t="e">
        <f>D11/(40/3)</f>
        <v>#N/A</v>
      </c>
      <c r="G11" s="10" t="e">
        <f t="shared" ref="G11:G12" si="2">D11/(40/27)</f>
        <v>#N/A</v>
      </c>
      <c r="H11" s="12" t="e">
        <f t="shared" si="0"/>
        <v>#N/A</v>
      </c>
      <c r="I11" s="1"/>
      <c r="M11" s="43">
        <v>1.8</v>
      </c>
      <c r="N11" s="23">
        <v>0.38</v>
      </c>
      <c r="O11">
        <v>13</v>
      </c>
    </row>
    <row r="12" spans="1:21" x14ac:dyDescent="0.25">
      <c r="A12" s="1"/>
      <c r="B12" s="8" t="s">
        <v>173</v>
      </c>
      <c r="C12" s="8" t="s">
        <v>7</v>
      </c>
      <c r="D12" s="9" t="e">
        <f>VLOOKUP(B12,'Nutrition Plan'!$D$14:$F$24,3,0)</f>
        <v>#N/A</v>
      </c>
      <c r="E12" s="10" t="e">
        <f t="shared" si="1"/>
        <v>#N/A</v>
      </c>
      <c r="F12" s="11" t="e">
        <f>D12/(40/2.5)</f>
        <v>#N/A</v>
      </c>
      <c r="G12" s="10" t="e">
        <f t="shared" si="2"/>
        <v>#N/A</v>
      </c>
      <c r="H12" s="12" t="e">
        <f t="shared" si="0"/>
        <v>#N/A</v>
      </c>
      <c r="I12" s="1"/>
      <c r="K12" s="43" t="s">
        <v>284</v>
      </c>
      <c r="M12" s="43">
        <v>1.9</v>
      </c>
      <c r="N12" s="23">
        <v>0.39</v>
      </c>
      <c r="O12">
        <v>14</v>
      </c>
    </row>
    <row r="13" spans="1:21" x14ac:dyDescent="0.25">
      <c r="A13" s="1"/>
      <c r="B13" s="8" t="s">
        <v>41</v>
      </c>
      <c r="C13" s="8" t="s">
        <v>7</v>
      </c>
      <c r="D13" s="9" t="e">
        <f>VLOOKUP(B13,'Nutrition Plan'!$D$14:$F$24,3,0)</f>
        <v>#N/A</v>
      </c>
      <c r="E13" s="10" t="e">
        <f>D13/(47/4)</f>
        <v>#N/A</v>
      </c>
      <c r="F13" s="11" t="e">
        <f>D13/(47/0.5)</f>
        <v>#N/A</v>
      </c>
      <c r="G13" s="10" t="e">
        <f>D13/(47/33)</f>
        <v>#N/A</v>
      </c>
      <c r="H13" s="12" t="e">
        <f t="shared" si="0"/>
        <v>#N/A</v>
      </c>
      <c r="I13" s="1"/>
      <c r="K13" s="73">
        <v>1.2</v>
      </c>
      <c r="M13" s="43">
        <v>2</v>
      </c>
      <c r="N13" s="23">
        <v>0.4</v>
      </c>
      <c r="O13">
        <v>15</v>
      </c>
    </row>
    <row r="14" spans="1:21" x14ac:dyDescent="0.25">
      <c r="A14" s="1"/>
      <c r="B14" s="8" t="s">
        <v>42</v>
      </c>
      <c r="C14" s="8" t="s">
        <v>7</v>
      </c>
      <c r="D14" s="9" t="e">
        <f>VLOOKUP(B14,'Nutrition Plan'!$D$14:$F$24,3,0)</f>
        <v>#N/A</v>
      </c>
      <c r="E14" s="10" t="e">
        <f>D14/(38/4)</f>
        <v>#N/A</v>
      </c>
      <c r="F14" s="11" t="e">
        <f>D14/(38/0.5)</f>
        <v>#N/A</v>
      </c>
      <c r="G14" s="10" t="e">
        <f>D14/(38/26)</f>
        <v>#N/A</v>
      </c>
      <c r="H14" s="12" t="e">
        <f t="shared" si="0"/>
        <v>#N/A</v>
      </c>
      <c r="I14" s="1"/>
      <c r="K14" s="73">
        <v>1.4</v>
      </c>
      <c r="M14" s="43">
        <v>2.1</v>
      </c>
      <c r="N14" s="23">
        <v>0.41</v>
      </c>
    </row>
    <row r="15" spans="1:21" x14ac:dyDescent="0.25">
      <c r="A15" s="1"/>
      <c r="B15" s="8" t="s">
        <v>43</v>
      </c>
      <c r="C15" s="8" t="s">
        <v>7</v>
      </c>
      <c r="D15" s="9" t="e">
        <f>VLOOKUP(B15,'Nutrition Plan'!$D$14:$F$24,3,0)</f>
        <v>#N/A</v>
      </c>
      <c r="E15" s="10" t="e">
        <f>D15/(42/1)</f>
        <v>#N/A</v>
      </c>
      <c r="F15" s="11" t="e">
        <f>D15/(42/0.5)</f>
        <v>#N/A</v>
      </c>
      <c r="G15" s="10" t="e">
        <f>D15/(42/32)</f>
        <v>#N/A</v>
      </c>
      <c r="H15" s="12" t="e">
        <f t="shared" si="0"/>
        <v>#N/A</v>
      </c>
      <c r="I15" s="1"/>
      <c r="K15" s="73">
        <v>1.6</v>
      </c>
      <c r="M15" s="43">
        <v>2.2000000000000002</v>
      </c>
      <c r="N15" s="23">
        <v>0.42</v>
      </c>
      <c r="R15" s="44" t="s">
        <v>9</v>
      </c>
      <c r="S15" s="44" t="s">
        <v>16</v>
      </c>
      <c r="T15" s="44" t="s">
        <v>15</v>
      </c>
      <c r="U15" s="44"/>
    </row>
    <row r="16" spans="1:21" x14ac:dyDescent="0.25">
      <c r="A16" s="1"/>
      <c r="B16" s="8" t="s">
        <v>174</v>
      </c>
      <c r="C16" s="8" t="s">
        <v>7</v>
      </c>
      <c r="D16" s="9" t="e">
        <f>VLOOKUP(B16,'Nutrition Plan'!$D$14:$F$24,3,0)</f>
        <v>#N/A</v>
      </c>
      <c r="E16" s="10" t="e">
        <f>D16/(28/1.5)</f>
        <v>#N/A</v>
      </c>
      <c r="F16" s="11" t="e">
        <f>D16/(28/0.15)</f>
        <v>#N/A</v>
      </c>
      <c r="G16" s="10" t="e">
        <f>D16/(28/7.45)</f>
        <v>#N/A</v>
      </c>
      <c r="H16" s="12" t="e">
        <f t="shared" si="0"/>
        <v>#N/A</v>
      </c>
      <c r="I16" s="1"/>
      <c r="K16" s="73">
        <v>1.8</v>
      </c>
      <c r="M16" s="43">
        <v>2.2999999999999998</v>
      </c>
      <c r="N16" s="23">
        <v>0.43</v>
      </c>
      <c r="Q16" s="44" t="s">
        <v>208</v>
      </c>
      <c r="R16" t="e">
        <f>#REF!</f>
        <v>#REF!</v>
      </c>
      <c r="S16" s="46" t="e">
        <f>#REF!</f>
        <v>#REF!</v>
      </c>
      <c r="T16" s="46" t="e">
        <f>#REF!</f>
        <v>#REF!</v>
      </c>
      <c r="U16" s="46"/>
    </row>
    <row r="17" spans="1:23" x14ac:dyDescent="0.25">
      <c r="A17" s="1"/>
      <c r="B17" s="8" t="s">
        <v>44</v>
      </c>
      <c r="C17" s="8" t="s">
        <v>45</v>
      </c>
      <c r="D17" s="9" t="e">
        <f>VLOOKUP(B17,'Nutrition Plan'!$D$14:$F$24,3,0)</f>
        <v>#N/A</v>
      </c>
      <c r="E17" s="10" t="e">
        <f>D17/(1/1)</f>
        <v>#N/A</v>
      </c>
      <c r="F17" s="11">
        <f>0</f>
        <v>0</v>
      </c>
      <c r="G17" s="10" t="e">
        <f>D17/(1/8)</f>
        <v>#N/A</v>
      </c>
      <c r="H17" s="12" t="e">
        <f t="shared" si="0"/>
        <v>#N/A</v>
      </c>
      <c r="I17" s="1"/>
      <c r="K17" s="73">
        <v>2</v>
      </c>
      <c r="M17" s="43">
        <v>2.4</v>
      </c>
      <c r="N17" s="23">
        <v>0.44</v>
      </c>
      <c r="Q17" s="44" t="s">
        <v>209</v>
      </c>
      <c r="R17" s="45" t="e">
        <f>#REF!</f>
        <v>#REF!</v>
      </c>
      <c r="S17" s="46" t="e">
        <f>#REF!</f>
        <v>#REF!</v>
      </c>
      <c r="T17" s="46" t="e">
        <f>#REF!</f>
        <v>#REF!</v>
      </c>
      <c r="U17" s="46"/>
    </row>
    <row r="18" spans="1:23" x14ac:dyDescent="0.25">
      <c r="A18" s="1"/>
      <c r="B18" s="8" t="s">
        <v>175</v>
      </c>
      <c r="C18" s="8" t="s">
        <v>7</v>
      </c>
      <c r="D18" s="9" t="e">
        <f>VLOOKUP(B18,'Nutrition Plan'!$D$14:$F$24,3,0)</f>
        <v>#N/A</v>
      </c>
      <c r="E18" s="10" t="e">
        <f>D18/(100/2.32)</f>
        <v>#N/A</v>
      </c>
      <c r="F18" s="11" t="e">
        <f>D18/(100/0.83)</f>
        <v>#N/A</v>
      </c>
      <c r="G18" s="10" t="e">
        <f>D18/(100/23.51)</f>
        <v>#N/A</v>
      </c>
      <c r="H18" s="12" t="e">
        <f t="shared" si="0"/>
        <v>#N/A</v>
      </c>
      <c r="I18" s="1"/>
      <c r="M18" s="43">
        <v>2.5</v>
      </c>
      <c r="N18" s="23">
        <v>0.45</v>
      </c>
      <c r="Q18" s="44" t="s">
        <v>210</v>
      </c>
      <c r="R18" s="46" t="e">
        <f>#REF!</f>
        <v>#REF!</v>
      </c>
      <c r="S18" s="46" t="e">
        <f>#REF!</f>
        <v>#REF!</v>
      </c>
      <c r="T18" s="46" t="e">
        <f>#REF!</f>
        <v>#REF!</v>
      </c>
      <c r="U18" s="46"/>
    </row>
    <row r="19" spans="1:23" x14ac:dyDescent="0.25">
      <c r="A19" s="1"/>
      <c r="B19" s="8" t="s">
        <v>176</v>
      </c>
      <c r="C19" s="8" t="s">
        <v>7</v>
      </c>
      <c r="D19" s="9" t="e">
        <f>VLOOKUP(B19,'Nutrition Plan'!$D$14:$F$24,3,0)</f>
        <v>#N/A</v>
      </c>
      <c r="E19" s="10" t="e">
        <f>D19/(200/4.2)</f>
        <v>#N/A</v>
      </c>
      <c r="F19" s="11" t="e">
        <f>D19/(200/0.44)</f>
        <v>#N/A</v>
      </c>
      <c r="G19" s="10" t="e">
        <f>D19/(200/45)</f>
        <v>#N/A</v>
      </c>
      <c r="H19" s="12" t="e">
        <f t="shared" si="0"/>
        <v>#N/A</v>
      </c>
      <c r="I19" s="1"/>
      <c r="K19" t="s">
        <v>294</v>
      </c>
      <c r="N19" s="23">
        <v>0.46</v>
      </c>
      <c r="Q19" s="44" t="s">
        <v>211</v>
      </c>
      <c r="R19" s="46" t="e">
        <f>#REF!</f>
        <v>#REF!</v>
      </c>
      <c r="S19" s="46" t="e">
        <f>#REF!</f>
        <v>#REF!</v>
      </c>
      <c r="T19" s="46" t="e">
        <f>#REF!</f>
        <v>#REF!</v>
      </c>
    </row>
    <row r="20" spans="1:23" x14ac:dyDescent="0.25">
      <c r="A20" s="1"/>
      <c r="B20" s="8" t="s">
        <v>177</v>
      </c>
      <c r="C20" s="8" t="s">
        <v>7</v>
      </c>
      <c r="D20" s="9" t="e">
        <f>VLOOKUP(B20,'Nutrition Plan'!$D$14:$F$24,3,0)</f>
        <v>#N/A</v>
      </c>
      <c r="E20" s="10" t="e">
        <f>D20/(100/2.38)</f>
        <v>#N/A</v>
      </c>
      <c r="F20" s="11" t="e">
        <f>D20/(100/0.21)</f>
        <v>#N/A</v>
      </c>
      <c r="G20" s="10" t="e">
        <f>D20/(100/28.59)</f>
        <v>#N/A</v>
      </c>
      <c r="H20" s="12" t="e">
        <f t="shared" si="0"/>
        <v>#N/A</v>
      </c>
      <c r="I20" s="1"/>
      <c r="N20" s="23">
        <v>0.47</v>
      </c>
    </row>
    <row r="21" spans="1:23" ht="15.75" customHeight="1" x14ac:dyDescent="0.25">
      <c r="A21" s="1"/>
      <c r="B21" s="8" t="s">
        <v>178</v>
      </c>
      <c r="C21" s="8" t="s">
        <v>7</v>
      </c>
      <c r="D21" s="9" t="e">
        <f>VLOOKUP(B21,'Nutrition Plan'!$D$14:$F$24,3,0)</f>
        <v>#N/A</v>
      </c>
      <c r="E21" s="10" t="e">
        <f>D21/(100/2)</f>
        <v>#N/A</v>
      </c>
      <c r="F21" s="11">
        <v>0</v>
      </c>
      <c r="G21" s="10" t="e">
        <f>D21/(100/20)</f>
        <v>#N/A</v>
      </c>
      <c r="H21" s="12" t="e">
        <f t="shared" si="0"/>
        <v>#N/A</v>
      </c>
      <c r="I21" s="1"/>
      <c r="N21" s="23">
        <v>0.48</v>
      </c>
    </row>
    <row r="22" spans="1:23" ht="15.75" customHeight="1" x14ac:dyDescent="0.25">
      <c r="A22" s="1"/>
      <c r="B22" s="8" t="s">
        <v>48</v>
      </c>
      <c r="C22" s="8" t="s">
        <v>7</v>
      </c>
      <c r="D22" s="9" t="e">
        <f>VLOOKUP(B22,'Nutrition Plan'!$D$14:$F$24,3,0)</f>
        <v>#N/A</v>
      </c>
      <c r="E22" s="10" t="e">
        <f t="shared" ref="E22:E23" si="3">D22/(70/5)</f>
        <v>#N/A</v>
      </c>
      <c r="F22" s="11" t="e">
        <f>D22/(70/8)</f>
        <v>#N/A</v>
      </c>
      <c r="G22" s="10" t="e">
        <f t="shared" ref="G22:G23" si="4">D22/(70/27)</f>
        <v>#N/A</v>
      </c>
      <c r="H22" s="12" t="e">
        <f t="shared" si="0"/>
        <v>#N/A</v>
      </c>
      <c r="I22" s="1"/>
      <c r="N22" s="23">
        <v>0.49</v>
      </c>
    </row>
    <row r="23" spans="1:23" ht="15.75" customHeight="1" x14ac:dyDescent="0.25">
      <c r="A23" s="1"/>
      <c r="B23" s="8" t="s">
        <v>51</v>
      </c>
      <c r="C23" s="8" t="s">
        <v>7</v>
      </c>
      <c r="D23" s="9" t="e">
        <f>VLOOKUP(B23,'Nutrition Plan'!$D$14:$F$24,3,0)</f>
        <v>#N/A</v>
      </c>
      <c r="E23" s="10" t="e">
        <f t="shared" si="3"/>
        <v>#N/A</v>
      </c>
      <c r="F23" s="11" t="e">
        <f>D23/(70/2.5)</f>
        <v>#N/A</v>
      </c>
      <c r="G23" s="10" t="e">
        <f t="shared" si="4"/>
        <v>#N/A</v>
      </c>
      <c r="H23" s="12" t="e">
        <f t="shared" si="0"/>
        <v>#N/A</v>
      </c>
      <c r="I23" s="1"/>
      <c r="N23" s="23">
        <v>0.5</v>
      </c>
    </row>
    <row r="24" spans="1:23" ht="15.75" customHeight="1" x14ac:dyDescent="0.25">
      <c r="A24" s="1"/>
      <c r="B24" s="8" t="s">
        <v>54</v>
      </c>
      <c r="C24" s="8" t="s">
        <v>55</v>
      </c>
      <c r="D24" s="9" t="e">
        <f>VLOOKUP(B24,'Nutrition Plan'!$D$14:$F$24,3,0)</f>
        <v>#N/A</v>
      </c>
      <c r="E24" s="10" t="e">
        <f>D24/(2/5)</f>
        <v>#N/A</v>
      </c>
      <c r="F24" s="11" t="e">
        <f>D24/(2/5)</f>
        <v>#N/A</v>
      </c>
      <c r="G24" s="10" t="e">
        <f>D24/(2/25)</f>
        <v>#N/A</v>
      </c>
      <c r="H24" s="12" t="e">
        <f t="shared" si="0"/>
        <v>#N/A</v>
      </c>
      <c r="I24" s="1"/>
      <c r="Q24" s="43" t="s">
        <v>285</v>
      </c>
      <c r="R24" s="43"/>
      <c r="S24" s="43"/>
      <c r="T24" s="43"/>
      <c r="U24" s="43" t="s">
        <v>286</v>
      </c>
      <c r="V24" s="43"/>
      <c r="W24" s="43"/>
    </row>
    <row r="25" spans="1:23" ht="15.75" customHeight="1" x14ac:dyDescent="0.25">
      <c r="A25" s="1"/>
      <c r="B25" s="8" t="s">
        <v>179</v>
      </c>
      <c r="C25" s="8" t="s">
        <v>7</v>
      </c>
      <c r="D25" s="9" t="e">
        <f>VLOOKUP(B25,'Nutrition Plan'!$D$14:$F$24,3,0)</f>
        <v>#N/A</v>
      </c>
      <c r="E25" s="10" t="e">
        <f>D25/(100/2.4)</f>
        <v>#N/A</v>
      </c>
      <c r="F25" s="11" t="e">
        <f>D25/(100/0.15)</f>
        <v>#N/A</v>
      </c>
      <c r="G25" s="10" t="e">
        <f>D25/(100/24.2)</f>
        <v>#N/A</v>
      </c>
      <c r="H25" s="12" t="e">
        <f t="shared" si="0"/>
        <v>#N/A</v>
      </c>
      <c r="I25" s="1"/>
      <c r="Q25" s="73" t="s">
        <v>287</v>
      </c>
      <c r="R25" s="73" t="s">
        <v>9</v>
      </c>
      <c r="S25" s="73" t="s">
        <v>16</v>
      </c>
      <c r="T25" s="43"/>
      <c r="U25" s="73" t="s">
        <v>287</v>
      </c>
      <c r="V25" s="73" t="s">
        <v>9</v>
      </c>
      <c r="W25" s="73" t="s">
        <v>16</v>
      </c>
    </row>
    <row r="26" spans="1:23" ht="15.75" customHeight="1" x14ac:dyDescent="0.25">
      <c r="A26" s="1"/>
      <c r="B26" s="8" t="s">
        <v>57</v>
      </c>
      <c r="C26" s="8" t="s">
        <v>58</v>
      </c>
      <c r="D26" s="9" t="e">
        <f>VLOOKUP(B26,'Nutrition Plan'!$D$14:$F$24,3,0)</f>
        <v>#N/A</v>
      </c>
      <c r="E26" s="10" t="e">
        <f>D26/(1/8)</f>
        <v>#N/A</v>
      </c>
      <c r="F26" s="11" t="e">
        <f>D26/(1/3)</f>
        <v>#N/A</v>
      </c>
      <c r="G26" s="10" t="e">
        <f>D26/(1/7)</f>
        <v>#N/A</v>
      </c>
      <c r="H26" s="12" t="e">
        <f t="shared" si="0"/>
        <v>#N/A</v>
      </c>
      <c r="I26" s="1"/>
      <c r="Q26" s="73" t="s">
        <v>288</v>
      </c>
      <c r="R26" s="73" t="e">
        <f>'Information - wk 4 &amp; 5'!M12*1.3</f>
        <v>#NUM!</v>
      </c>
      <c r="S26" s="73" t="e">
        <f>('Information - wk 4 &amp; 5'!M12/2.2)*0.85</f>
        <v>#NUM!</v>
      </c>
      <c r="T26" s="43"/>
      <c r="U26" s="73" t="s">
        <v>288</v>
      </c>
      <c r="V26" s="73" t="e">
        <f>'Information - wk 4 &amp; 5'!O13*1.3</f>
        <v>#NUM!</v>
      </c>
      <c r="W26" s="73" t="e">
        <f>('Information - wk 4 &amp; 5'!O13/2.2)*0.85</f>
        <v>#NUM!</v>
      </c>
    </row>
    <row r="27" spans="1:23" ht="15.75" customHeight="1" x14ac:dyDescent="0.3">
      <c r="A27" s="1"/>
      <c r="B27" s="173" t="s">
        <v>26</v>
      </c>
      <c r="C27" s="174"/>
      <c r="D27" s="174"/>
      <c r="E27" s="174"/>
      <c r="F27" s="174"/>
      <c r="G27" s="174"/>
      <c r="H27" s="134"/>
      <c r="I27" s="1"/>
      <c r="Q27" s="73" t="s">
        <v>289</v>
      </c>
      <c r="R27" s="73" t="e">
        <f>'Information - wk 4 &amp; 5'!M12*1.3</f>
        <v>#NUM!</v>
      </c>
      <c r="S27" s="73" t="e">
        <f>('Information - wk 4 &amp; 5'!M12/2.2)*0.95</f>
        <v>#NUM!</v>
      </c>
      <c r="T27" s="43"/>
      <c r="U27" s="73" t="s">
        <v>289</v>
      </c>
      <c r="V27" s="73" t="e">
        <f>'Information - wk 4 &amp; 5'!O13*1.3</f>
        <v>#NUM!</v>
      </c>
      <c r="W27" s="73" t="e">
        <f>('Information - wk 4 &amp; 5'!O13/2.2)*0.95</f>
        <v>#NUM!</v>
      </c>
    </row>
    <row r="28" spans="1:23" ht="15.75" customHeight="1" x14ac:dyDescent="0.25">
      <c r="A28" s="1"/>
      <c r="B28" s="8" t="s">
        <v>60</v>
      </c>
      <c r="C28" s="8" t="s">
        <v>7</v>
      </c>
      <c r="D28" s="9" t="e">
        <f>VLOOKUP(B28,'Nutrition Plan'!$D$14:$F$24,3,0)</f>
        <v>#N/A</v>
      </c>
      <c r="E28" s="10" t="e">
        <f>D28/(28/2.95)</f>
        <v>#N/A</v>
      </c>
      <c r="F28" s="11" t="e">
        <f>D28/(28/0.64)</f>
        <v>#N/A</v>
      </c>
      <c r="G28" s="10" t="e">
        <f>D28/(28/1.34)</f>
        <v>#N/A</v>
      </c>
      <c r="H28" s="12" t="e">
        <f t="shared" ref="H28:H53" si="5">(E28*4)+(F28*9)+(G28*4)</f>
        <v>#N/A</v>
      </c>
      <c r="I28" s="1"/>
      <c r="Q28" s="73" t="s">
        <v>290</v>
      </c>
      <c r="R28" s="73" t="e">
        <f>'Information - wk 4 &amp; 5'!M12*1.375</f>
        <v>#NUM!</v>
      </c>
      <c r="S28" s="73" t="e">
        <f>('Information - wk 4 &amp; 5'!M12/2.2)*1.125</f>
        <v>#NUM!</v>
      </c>
      <c r="T28" s="43"/>
      <c r="U28" s="73" t="s">
        <v>290</v>
      </c>
      <c r="V28" s="73" t="e">
        <f>'Information - wk 4 &amp; 5'!O13*1.375</f>
        <v>#NUM!</v>
      </c>
      <c r="W28" s="73" t="e">
        <f>('Information - wk 4 &amp; 5'!O13/2.2)*1.125</f>
        <v>#NUM!</v>
      </c>
    </row>
    <row r="29" spans="1:23" ht="15.75" customHeight="1" x14ac:dyDescent="0.25">
      <c r="A29" s="1"/>
      <c r="B29" s="8" t="s">
        <v>61</v>
      </c>
      <c r="C29" s="8" t="s">
        <v>7</v>
      </c>
      <c r="D29" s="9" t="e">
        <f>VLOOKUP(B29,'Nutrition Plan'!$D$14:$F$24,3,0)</f>
        <v>#N/A</v>
      </c>
      <c r="E29" s="10" t="e">
        <f>D29/(100/18.94)</f>
        <v>#N/A</v>
      </c>
      <c r="F29" s="11" t="e">
        <f>D29/(100/26.05)</f>
        <v>#N/A</v>
      </c>
      <c r="G29" s="10" t="e">
        <f>D29/(100/6.94)</f>
        <v>#N/A</v>
      </c>
      <c r="H29" s="12" t="e">
        <f t="shared" si="5"/>
        <v>#N/A</v>
      </c>
      <c r="I29" s="1"/>
      <c r="Q29" s="43"/>
      <c r="R29" s="43"/>
      <c r="S29" s="43"/>
      <c r="T29" s="43"/>
      <c r="U29" s="43"/>
      <c r="V29" s="43"/>
      <c r="W29" s="43"/>
    </row>
    <row r="30" spans="1:23" ht="15.75" customHeight="1" x14ac:dyDescent="0.25">
      <c r="A30" s="1"/>
      <c r="B30" s="8" t="s">
        <v>62</v>
      </c>
      <c r="C30" s="8" t="s">
        <v>22</v>
      </c>
      <c r="D30" s="9" t="e">
        <f>VLOOKUP(B30,'Nutrition Plan'!$D$14:$F$24,3,0)</f>
        <v>#N/A</v>
      </c>
      <c r="E30" s="10" t="e">
        <f>D30/(1/4)</f>
        <v>#N/A</v>
      </c>
      <c r="F30" s="11" t="e">
        <f>D30/(1/6)</f>
        <v>#N/A</v>
      </c>
      <c r="G30" s="10">
        <f>0</f>
        <v>0</v>
      </c>
      <c r="H30" s="12" t="e">
        <f t="shared" si="5"/>
        <v>#N/A</v>
      </c>
      <c r="I30" s="1"/>
      <c r="Q30" s="73" t="s">
        <v>214</v>
      </c>
      <c r="R30" s="73" t="s">
        <v>291</v>
      </c>
      <c r="S30" s="43"/>
      <c r="T30" s="43"/>
      <c r="U30" s="43"/>
      <c r="V30" s="43"/>
      <c r="W30" s="43"/>
    </row>
    <row r="31" spans="1:23" ht="15.75" customHeight="1" x14ac:dyDescent="0.25">
      <c r="A31" s="1"/>
      <c r="B31" s="8" t="s">
        <v>63</v>
      </c>
      <c r="C31" s="8" t="s">
        <v>7</v>
      </c>
      <c r="D31" s="9" t="e">
        <f>VLOOKUP(B31,'Nutrition Plan'!$D$14:$F$24,3,0)</f>
        <v>#N/A</v>
      </c>
      <c r="E31" s="10" t="e">
        <f>D31/(100/14.21)</f>
        <v>#N/A</v>
      </c>
      <c r="F31" s="11" t="e">
        <f>D31/(100/21.28)</f>
        <v>#N/A</v>
      </c>
      <c r="G31" s="10" t="e">
        <f>D31/(100/4.09)</f>
        <v>#N/A</v>
      </c>
      <c r="H31" s="12" t="e">
        <f t="shared" si="5"/>
        <v>#N/A</v>
      </c>
      <c r="I31" s="1"/>
      <c r="Q31" s="73" t="s">
        <v>292</v>
      </c>
      <c r="R31" s="73">
        <f>66+(13.7*'Information - wk 4 &amp; 5'!B3)+(5*'Information - wk 4 &amp; 5'!B4)-(6.8*'Information - wk 4 &amp; 5'!B5)</f>
        <v>66</v>
      </c>
      <c r="S31" s="43"/>
      <c r="T31" s="43"/>
      <c r="U31" s="43"/>
      <c r="V31" s="43"/>
      <c r="W31" s="43"/>
    </row>
    <row r="32" spans="1:23" ht="15.75" customHeight="1" x14ac:dyDescent="0.25">
      <c r="A32" s="1"/>
      <c r="B32" s="8" t="s">
        <v>64</v>
      </c>
      <c r="C32" s="8" t="s">
        <v>7</v>
      </c>
      <c r="D32" s="9" t="e">
        <f>VLOOKUP(B32,'Nutrition Plan'!$D$14:$F$24,3,0)</f>
        <v>#N/A</v>
      </c>
      <c r="E32" s="10" t="e">
        <f>D32/(28/6)</f>
        <v>#N/A</v>
      </c>
      <c r="F32" s="11" t="e">
        <f>D32/(28/4)</f>
        <v>#N/A</v>
      </c>
      <c r="G32" s="10" t="e">
        <f>D32/(28/3)</f>
        <v>#N/A</v>
      </c>
      <c r="H32" s="12" t="e">
        <f t="shared" si="5"/>
        <v>#N/A</v>
      </c>
      <c r="I32" s="1"/>
      <c r="Q32" s="73" t="s">
        <v>293</v>
      </c>
      <c r="R32" s="73">
        <f>655+(9.6*'Information - wk 4 &amp; 5'!B3)+(1.8*'Information - wk 4 &amp; 5'!B4)-(4.7*'Information - wk 4 &amp; 5'!B5)</f>
        <v>655</v>
      </c>
      <c r="S32" s="43"/>
      <c r="T32" s="43"/>
      <c r="U32" s="43"/>
      <c r="V32" s="43"/>
      <c r="W32" s="43"/>
    </row>
    <row r="33" spans="1:18" ht="15.75" customHeight="1" x14ac:dyDescent="0.25">
      <c r="A33" s="1"/>
      <c r="B33" s="8" t="s">
        <v>65</v>
      </c>
      <c r="C33" s="8" t="s">
        <v>22</v>
      </c>
      <c r="D33" s="9" t="e">
        <f>VLOOKUP(B33,'Nutrition Plan'!$D$14:$F$24,3,0)</f>
        <v>#N/A</v>
      </c>
      <c r="E33" s="10" t="e">
        <f t="shared" ref="E33:E34" si="6">D33/(1/3)</f>
        <v>#N/A</v>
      </c>
      <c r="F33" s="11" t="e">
        <f>D33/(1/2.5)</f>
        <v>#N/A</v>
      </c>
      <c r="G33" s="10" t="e">
        <f t="shared" ref="G33:G34" si="7">D33/(1/1)</f>
        <v>#N/A</v>
      </c>
      <c r="H33" s="12" t="e">
        <f t="shared" si="5"/>
        <v>#N/A</v>
      </c>
      <c r="I33" s="1"/>
    </row>
    <row r="34" spans="1:18" ht="15.75" customHeight="1" x14ac:dyDescent="0.25">
      <c r="A34" s="1"/>
      <c r="B34" s="8" t="s">
        <v>66</v>
      </c>
      <c r="C34" s="8" t="s">
        <v>22</v>
      </c>
      <c r="D34" s="9" t="e">
        <f>VLOOKUP(B34,'Nutrition Plan'!$D$14:$F$24,3,0)</f>
        <v>#N/A</v>
      </c>
      <c r="E34" s="10" t="e">
        <f t="shared" si="6"/>
        <v>#N/A</v>
      </c>
      <c r="F34" s="11" t="e">
        <f>D34/(1/3)</f>
        <v>#N/A</v>
      </c>
      <c r="G34" s="10" t="e">
        <f t="shared" si="7"/>
        <v>#N/A</v>
      </c>
      <c r="H34" s="12" t="e">
        <f t="shared" si="5"/>
        <v>#N/A</v>
      </c>
      <c r="I34" s="1"/>
    </row>
    <row r="35" spans="1:18" ht="15.75" customHeight="1" x14ac:dyDescent="0.25">
      <c r="A35" s="1"/>
      <c r="B35" s="8" t="s">
        <v>67</v>
      </c>
      <c r="C35" s="8" t="s">
        <v>7</v>
      </c>
      <c r="D35" s="9" t="e">
        <f>VLOOKUP(B35,'Nutrition Plan'!$D$14:$F$24,3,0)</f>
        <v>#N/A</v>
      </c>
      <c r="E35" s="10" t="e">
        <f>D35/(28/9)</f>
        <v>#N/A</v>
      </c>
      <c r="F35" s="11">
        <f>0</f>
        <v>0</v>
      </c>
      <c r="G35" s="10" t="e">
        <f>D35/(28/2)</f>
        <v>#N/A</v>
      </c>
      <c r="H35" s="12" t="e">
        <f t="shared" si="5"/>
        <v>#N/A</v>
      </c>
      <c r="I35" s="1"/>
      <c r="Q35" s="74" t="s">
        <v>295</v>
      </c>
      <c r="R35" s="74" t="s">
        <v>12</v>
      </c>
    </row>
    <row r="36" spans="1:18" ht="15.75" customHeight="1" x14ac:dyDescent="0.25">
      <c r="A36" s="1"/>
      <c r="B36" s="8" t="s">
        <v>68</v>
      </c>
      <c r="C36" s="8" t="s">
        <v>22</v>
      </c>
      <c r="D36" s="9" t="e">
        <f>VLOOKUP(B36,'Nutrition Plan'!$D$14:$F$24,3,0)</f>
        <v>#N/A</v>
      </c>
      <c r="E36" s="10" t="e">
        <f>D36/(1/5)</f>
        <v>#N/A</v>
      </c>
      <c r="F36" s="11" t="e">
        <f>D36/(1/5)</f>
        <v>#N/A</v>
      </c>
      <c r="G36" s="10">
        <f>0</f>
        <v>0</v>
      </c>
      <c r="H36" s="12" t="e">
        <f t="shared" si="5"/>
        <v>#N/A</v>
      </c>
      <c r="I36" s="1"/>
      <c r="Q36" s="74" t="s">
        <v>296</v>
      </c>
      <c r="R36" s="75" t="e">
        <f>('Information - wk 4 &amp; 5'!B9*'Information - wk 4 &amp; 5'!I7)*0.8</f>
        <v>#N/A</v>
      </c>
    </row>
    <row r="37" spans="1:18" ht="15.75" customHeight="1" x14ac:dyDescent="0.25">
      <c r="A37" s="1"/>
      <c r="B37" s="8" t="s">
        <v>69</v>
      </c>
      <c r="C37" s="8" t="s">
        <v>7</v>
      </c>
      <c r="D37" s="9" t="e">
        <f>VLOOKUP(B37,'Nutrition Plan'!$D$14:$F$24,3,0)</f>
        <v>#N/A</v>
      </c>
      <c r="E37" s="10" t="e">
        <f t="shared" ref="E37:E38" si="8">D37/(28/8)</f>
        <v>#N/A</v>
      </c>
      <c r="F37" s="11" t="e">
        <f>D37/(28/4.5)</f>
        <v>#N/A</v>
      </c>
      <c r="G37" s="10" t="e">
        <f t="shared" ref="G37:G38" si="9">D37/(28/1)</f>
        <v>#N/A</v>
      </c>
      <c r="H37" s="12" t="e">
        <f t="shared" si="5"/>
        <v>#N/A</v>
      </c>
      <c r="I37" s="1"/>
      <c r="Q37" s="74"/>
      <c r="R37" s="75" t="e">
        <f>('Information - wk 4 &amp; 5'!B10*'Information - wk 4 &amp; 5'!I8)*0.8</f>
        <v>#VALUE!</v>
      </c>
    </row>
    <row r="38" spans="1:18" ht="15.75" customHeight="1" x14ac:dyDescent="0.25">
      <c r="A38" s="1"/>
      <c r="B38" s="8" t="s">
        <v>71</v>
      </c>
      <c r="C38" s="8" t="s">
        <v>7</v>
      </c>
      <c r="D38" s="9" t="e">
        <f>VLOOKUP(B38,'Nutrition Plan'!$D$14:$F$24,3,0)</f>
        <v>#N/A</v>
      </c>
      <c r="E38" s="10" t="e">
        <f t="shared" si="8"/>
        <v>#N/A</v>
      </c>
      <c r="F38" s="11" t="e">
        <f>D38/(28/6)</f>
        <v>#N/A</v>
      </c>
      <c r="G38" s="10" t="e">
        <f t="shared" si="9"/>
        <v>#N/A</v>
      </c>
      <c r="H38" s="12" t="e">
        <f t="shared" si="5"/>
        <v>#N/A</v>
      </c>
      <c r="I38" s="1"/>
      <c r="Q38" s="74"/>
      <c r="R38" s="75" t="e">
        <f>('Information - wk 4 &amp; 5'!B11*'Information - wk 4 &amp; 5'!I9)*0.8</f>
        <v>#N/A</v>
      </c>
    </row>
    <row r="39" spans="1:18" ht="15.75" customHeight="1" x14ac:dyDescent="0.25">
      <c r="A39" s="1"/>
      <c r="B39" s="8" t="s">
        <v>72</v>
      </c>
      <c r="C39" s="8" t="s">
        <v>7</v>
      </c>
      <c r="D39" s="9" t="e">
        <f>VLOOKUP(B39,'Nutrition Plan'!$D$14:$F$24,3,0)</f>
        <v>#N/A</v>
      </c>
      <c r="E39" s="10" t="e">
        <f>D39/(100/11.39)</f>
        <v>#N/A</v>
      </c>
      <c r="F39" s="11" t="e">
        <f>D39/(100/7.91)</f>
        <v>#N/A</v>
      </c>
      <c r="G39" s="10" t="e">
        <f>D39/(100/5.4)</f>
        <v>#N/A</v>
      </c>
      <c r="H39" s="12" t="e">
        <f t="shared" si="5"/>
        <v>#N/A</v>
      </c>
      <c r="I39" s="1"/>
    </row>
    <row r="40" spans="1:18" ht="15.75" customHeight="1" x14ac:dyDescent="0.25">
      <c r="A40" s="1"/>
      <c r="B40" s="8" t="s">
        <v>73</v>
      </c>
      <c r="C40" s="8" t="s">
        <v>7</v>
      </c>
      <c r="D40" s="9" t="e">
        <f>VLOOKUP(B40,'Nutrition Plan'!$D$14:$F$24,3,0)</f>
        <v>#N/A</v>
      </c>
      <c r="E40" s="10" t="e">
        <f>D40/(100/9.8)</f>
        <v>#N/A</v>
      </c>
      <c r="F40" s="11">
        <f>0</f>
        <v>0</v>
      </c>
      <c r="G40" s="10" t="e">
        <f>D40/(100/1.6)</f>
        <v>#N/A</v>
      </c>
      <c r="H40" s="12" t="e">
        <f t="shared" si="5"/>
        <v>#N/A</v>
      </c>
      <c r="I40" s="1"/>
    </row>
    <row r="41" spans="1:18" ht="15.75" customHeight="1" x14ac:dyDescent="0.25">
      <c r="A41" s="1"/>
      <c r="B41" s="8" t="s">
        <v>74</v>
      </c>
      <c r="C41" s="8" t="s">
        <v>75</v>
      </c>
      <c r="D41" s="9" t="e">
        <f>VLOOKUP(B41,'Nutrition Plan'!$D$14:$F$24,3,0)</f>
        <v>#N/A</v>
      </c>
      <c r="E41" s="10" t="e">
        <f>D41/(1/3.6)</f>
        <v>#N/A</v>
      </c>
      <c r="F41" s="11" t="e">
        <f>D41/(1/0.06)</f>
        <v>#N/A</v>
      </c>
      <c r="G41" s="10" t="e">
        <f>D41/(1/0.24)</f>
        <v>#N/A</v>
      </c>
      <c r="H41" s="12" t="e">
        <f t="shared" si="5"/>
        <v>#N/A</v>
      </c>
      <c r="I41" s="1"/>
    </row>
    <row r="42" spans="1:18" ht="15.75" customHeight="1" x14ac:dyDescent="0.25">
      <c r="A42" s="1"/>
      <c r="B42" s="8" t="s">
        <v>77</v>
      </c>
      <c r="C42" s="8" t="s">
        <v>75</v>
      </c>
      <c r="D42" s="9" t="e">
        <f>VLOOKUP(B42,'Nutrition Plan'!$D$14:$F$24,3,0)</f>
        <v>#N/A</v>
      </c>
      <c r="E42" s="10" t="e">
        <f>D42/(1/6.28)</f>
        <v>#N/A</v>
      </c>
      <c r="F42" s="11" t="e">
        <f>D42/(1/4.76)</f>
        <v>#N/A</v>
      </c>
      <c r="G42" s="10" t="e">
        <f>D42/(1/0.36)</f>
        <v>#N/A</v>
      </c>
      <c r="H42" s="12" t="e">
        <f t="shared" si="5"/>
        <v>#N/A</v>
      </c>
      <c r="I42" s="1"/>
    </row>
    <row r="43" spans="1:18" ht="15.75" customHeight="1" x14ac:dyDescent="0.25">
      <c r="A43" s="1"/>
      <c r="B43" s="8" t="s">
        <v>78</v>
      </c>
      <c r="C43" s="8" t="s">
        <v>75</v>
      </c>
      <c r="D43" s="9" t="e">
        <f>VLOOKUP(B43,'Nutrition Plan'!$D$14:$F$24,3,0)</f>
        <v>#N/A</v>
      </c>
      <c r="E43" s="10" t="e">
        <f>D43/(1/7)</f>
        <v>#N/A</v>
      </c>
      <c r="F43" s="11" t="e">
        <f>D43/(1/4.5)</f>
        <v>#N/A</v>
      </c>
      <c r="G43" s="10">
        <v>0</v>
      </c>
      <c r="H43" s="12" t="e">
        <f t="shared" si="5"/>
        <v>#N/A</v>
      </c>
      <c r="I43" s="1"/>
    </row>
    <row r="44" spans="1:18" ht="15.75" customHeight="1" x14ac:dyDescent="0.25">
      <c r="A44" s="1"/>
      <c r="B44" s="8" t="s">
        <v>79</v>
      </c>
      <c r="C44" s="8" t="s">
        <v>7</v>
      </c>
      <c r="D44" s="9" t="e">
        <f>VLOOKUP(B44,'Nutrition Plan'!$D$14:$F$24,3,0)</f>
        <v>#N/A</v>
      </c>
      <c r="E44" s="10" t="e">
        <f t="shared" ref="E44:E45" si="10">D44/(46/5)</f>
        <v>#N/A</v>
      </c>
      <c r="F44" s="11">
        <f t="shared" ref="F44:F45" si="11">0</f>
        <v>0</v>
      </c>
      <c r="G44" s="10" t="e">
        <f>D44/(46/0.75)</f>
        <v>#N/A</v>
      </c>
      <c r="H44" s="12" t="e">
        <f t="shared" si="5"/>
        <v>#N/A</v>
      </c>
      <c r="I44" s="1"/>
    </row>
    <row r="45" spans="1:18" ht="15.75" customHeight="1" x14ac:dyDescent="0.25">
      <c r="A45" s="1"/>
      <c r="B45" s="8" t="s">
        <v>80</v>
      </c>
      <c r="C45" s="8" t="s">
        <v>7</v>
      </c>
      <c r="D45" s="9" t="e">
        <f>VLOOKUP(B45,'Nutrition Plan'!$D$14:$F$24,3,0)</f>
        <v>#N/A</v>
      </c>
      <c r="E45" s="10" t="e">
        <f t="shared" si="10"/>
        <v>#N/A</v>
      </c>
      <c r="F45" s="11">
        <f t="shared" si="11"/>
        <v>0</v>
      </c>
      <c r="G45" s="10">
        <f>0</f>
        <v>0</v>
      </c>
      <c r="H45" s="12" t="e">
        <f t="shared" si="5"/>
        <v>#N/A</v>
      </c>
      <c r="I45" s="1"/>
    </row>
    <row r="46" spans="1:18" ht="15.75" customHeight="1" x14ac:dyDescent="0.25">
      <c r="A46" s="1"/>
      <c r="B46" s="8" t="s">
        <v>81</v>
      </c>
      <c r="C46" s="8" t="s">
        <v>82</v>
      </c>
      <c r="D46" s="9" t="e">
        <f>VLOOKUP(B46,'Nutrition Plan'!$D$14:$F$24,3,0)</f>
        <v>#N/A</v>
      </c>
      <c r="E46" s="10" t="e">
        <f t="shared" ref="E46:E47" si="12">D46/(8/8)</f>
        <v>#N/A</v>
      </c>
      <c r="F46" s="11" t="e">
        <f>D46/(8/2.4)</f>
        <v>#N/A</v>
      </c>
      <c r="G46" s="10" t="e">
        <f t="shared" ref="G46:G47" si="13">D46/(8/12)</f>
        <v>#N/A</v>
      </c>
      <c r="H46" s="12" t="e">
        <f t="shared" si="5"/>
        <v>#N/A</v>
      </c>
      <c r="I46" s="1"/>
    </row>
    <row r="47" spans="1:18" ht="15.75" customHeight="1" x14ac:dyDescent="0.25">
      <c r="A47" s="1"/>
      <c r="B47" s="8" t="s">
        <v>83</v>
      </c>
      <c r="C47" s="8" t="s">
        <v>82</v>
      </c>
      <c r="D47" s="9" t="e">
        <f>VLOOKUP(B47,'Nutrition Plan'!$D$14:$F$24,3,0)</f>
        <v>#N/A</v>
      </c>
      <c r="E47" s="10" t="e">
        <f t="shared" si="12"/>
        <v>#N/A</v>
      </c>
      <c r="F47" s="11" t="e">
        <f>D47/(8/4.9)</f>
        <v>#N/A</v>
      </c>
      <c r="G47" s="10" t="e">
        <f t="shared" si="13"/>
        <v>#N/A</v>
      </c>
      <c r="H47" s="12" t="e">
        <f t="shared" si="5"/>
        <v>#N/A</v>
      </c>
      <c r="I47" s="1"/>
    </row>
    <row r="48" spans="1:18" ht="15.75" customHeight="1" x14ac:dyDescent="0.25">
      <c r="A48" s="1"/>
      <c r="B48" s="8" t="s">
        <v>84</v>
      </c>
      <c r="C48" s="8" t="s">
        <v>82</v>
      </c>
      <c r="D48" s="9" t="e">
        <f>VLOOKUP(B48,'Nutrition Plan'!$D$14:$F$24,3,0)</f>
        <v>#N/A</v>
      </c>
      <c r="E48" s="10" t="e">
        <f t="shared" ref="E48:E50" si="14">D48/(8/1)</f>
        <v>#N/A</v>
      </c>
      <c r="F48" s="11" t="e">
        <f>D48/(8/2.5)</f>
        <v>#N/A</v>
      </c>
      <c r="G48" s="10" t="e">
        <f t="shared" ref="G48:G50" si="15">D48/(8/1)</f>
        <v>#N/A</v>
      </c>
      <c r="H48" s="12" t="e">
        <f t="shared" si="5"/>
        <v>#N/A</v>
      </c>
      <c r="I48" s="1"/>
    </row>
    <row r="49" spans="1:9" ht="15.75" customHeight="1" x14ac:dyDescent="0.25">
      <c r="A49" s="1"/>
      <c r="B49" s="8" t="s">
        <v>85</v>
      </c>
      <c r="C49" s="8" t="s">
        <v>82</v>
      </c>
      <c r="D49" s="9" t="e">
        <f>VLOOKUP(B49,'Nutrition Plan'!$D$14:$F$24,3,0)</f>
        <v>#N/A</v>
      </c>
      <c r="E49" s="10" t="e">
        <f t="shared" si="14"/>
        <v>#N/A</v>
      </c>
      <c r="F49" s="11" t="e">
        <f>D49/(8/2)</f>
        <v>#N/A</v>
      </c>
      <c r="G49" s="10" t="e">
        <f t="shared" si="15"/>
        <v>#N/A</v>
      </c>
      <c r="H49" s="12" t="e">
        <f t="shared" si="5"/>
        <v>#N/A</v>
      </c>
      <c r="I49" s="1"/>
    </row>
    <row r="50" spans="1:9" ht="15.75" customHeight="1" x14ac:dyDescent="0.25">
      <c r="A50" s="1"/>
      <c r="B50" s="8" t="s">
        <v>86</v>
      </c>
      <c r="C50" s="8" t="s">
        <v>82</v>
      </c>
      <c r="D50" s="9" t="e">
        <f>VLOOKUP(B50,'Nutrition Plan'!$D$14:$F$24,3,0)</f>
        <v>#N/A</v>
      </c>
      <c r="E50" s="10" t="e">
        <f t="shared" si="14"/>
        <v>#N/A</v>
      </c>
      <c r="F50" s="11" t="e">
        <f>D50/(8/3.5)</f>
        <v>#N/A</v>
      </c>
      <c r="G50" s="10" t="e">
        <f t="shared" si="15"/>
        <v>#N/A</v>
      </c>
      <c r="H50" s="12" t="e">
        <f t="shared" si="5"/>
        <v>#N/A</v>
      </c>
      <c r="I50" s="1"/>
    </row>
    <row r="51" spans="1:9" ht="15.75" customHeight="1" x14ac:dyDescent="0.25">
      <c r="A51" s="1"/>
      <c r="B51" s="8" t="s">
        <v>87</v>
      </c>
      <c r="C51" s="8" t="s">
        <v>82</v>
      </c>
      <c r="D51" s="9" t="e">
        <f>VLOOKUP(B51,'Nutrition Plan'!$D$14:$F$24,3,0)</f>
        <v>#N/A</v>
      </c>
      <c r="E51" s="10" t="e">
        <f t="shared" ref="E51:E52" si="16">D51/(8/8)</f>
        <v>#N/A</v>
      </c>
      <c r="F51" s="11" t="e">
        <f>D51/(8/0.2)</f>
        <v>#N/A</v>
      </c>
      <c r="G51" s="10" t="e">
        <f t="shared" ref="G51:G52" si="17">D51/(8/12)</f>
        <v>#N/A</v>
      </c>
      <c r="H51" s="12" t="e">
        <f t="shared" si="5"/>
        <v>#N/A</v>
      </c>
      <c r="I51" s="1"/>
    </row>
    <row r="52" spans="1:9" ht="15.75" customHeight="1" x14ac:dyDescent="0.25">
      <c r="A52" s="1"/>
      <c r="B52" s="8" t="s">
        <v>89</v>
      </c>
      <c r="C52" s="8" t="s">
        <v>82</v>
      </c>
      <c r="D52" s="9" t="e">
        <f>VLOOKUP(B52,'Nutrition Plan'!$D$14:$F$24,3,0)</f>
        <v>#N/A</v>
      </c>
      <c r="E52" s="10" t="e">
        <f t="shared" si="16"/>
        <v>#N/A</v>
      </c>
      <c r="F52" s="11" t="e">
        <f>D52/(8/8)</f>
        <v>#N/A</v>
      </c>
      <c r="G52" s="10" t="e">
        <f t="shared" si="17"/>
        <v>#N/A</v>
      </c>
      <c r="H52" s="12" t="e">
        <f t="shared" si="5"/>
        <v>#N/A</v>
      </c>
      <c r="I52" s="1"/>
    </row>
    <row r="53" spans="1:9" ht="15.75" customHeight="1" x14ac:dyDescent="0.25">
      <c r="A53" s="1"/>
      <c r="B53" s="8" t="s">
        <v>90</v>
      </c>
      <c r="C53" s="8" t="s">
        <v>7</v>
      </c>
      <c r="D53" s="9" t="e">
        <f>VLOOKUP(B53,'Nutrition Plan'!$D$14:$F$24,3,0)</f>
        <v>#N/A</v>
      </c>
      <c r="E53" s="10" t="e">
        <f>D53/(224/22.7)</f>
        <v>#N/A</v>
      </c>
      <c r="F53" s="11">
        <f>0</f>
        <v>0</v>
      </c>
      <c r="G53" s="10" t="e">
        <f>D53/(224/10.6)</f>
        <v>#N/A</v>
      </c>
      <c r="H53" s="12" t="e">
        <f t="shared" si="5"/>
        <v>#N/A</v>
      </c>
      <c r="I53" s="1"/>
    </row>
    <row r="54" spans="1:9" ht="15.75" customHeight="1" x14ac:dyDescent="0.3">
      <c r="A54" s="1"/>
      <c r="B54" s="173" t="s">
        <v>5</v>
      </c>
      <c r="C54" s="174"/>
      <c r="D54" s="174"/>
      <c r="E54" s="174"/>
      <c r="F54" s="174"/>
      <c r="G54" s="174"/>
      <c r="H54" s="134"/>
      <c r="I54" s="1"/>
    </row>
    <row r="55" spans="1:9" ht="15.75" customHeight="1" x14ac:dyDescent="0.25">
      <c r="A55" s="1"/>
      <c r="B55" s="8" t="s">
        <v>91</v>
      </c>
      <c r="C55" s="8" t="s">
        <v>7</v>
      </c>
      <c r="D55" s="9" t="e">
        <f>VLOOKUP(B55,'Nutrition Plan'!$D$14:$F$24,3,0)</f>
        <v>#N/A</v>
      </c>
      <c r="E55" s="10" t="e">
        <f>D55/(32/6)</f>
        <v>#N/A</v>
      </c>
      <c r="F55" s="11" t="e">
        <f>D55/(32/16)</f>
        <v>#N/A</v>
      </c>
      <c r="G55" s="10" t="e">
        <f>D55/(32/7)</f>
        <v>#N/A</v>
      </c>
      <c r="H55" s="12" t="e">
        <f t="shared" ref="H55:H71" si="18">(E55*4)+(F55*9)+(G55*4)</f>
        <v>#N/A</v>
      </c>
      <c r="I55" s="1"/>
    </row>
    <row r="56" spans="1:9" ht="15.75" customHeight="1" x14ac:dyDescent="0.25">
      <c r="A56" s="1"/>
      <c r="B56" s="8" t="s">
        <v>92</v>
      </c>
      <c r="C56" s="8" t="s">
        <v>7</v>
      </c>
      <c r="D56" s="9" t="e">
        <f>VLOOKUP(B56,'Nutrition Plan'!$D$14:$F$24,3,0)</f>
        <v>#N/A</v>
      </c>
      <c r="E56" s="10" t="e">
        <f>D56/(32/7)</f>
        <v>#N/A</v>
      </c>
      <c r="F56" s="11" t="e">
        <f>D56/(32/18)</f>
        <v>#N/A</v>
      </c>
      <c r="G56" s="10" t="e">
        <f>D56/(32/6)</f>
        <v>#N/A</v>
      </c>
      <c r="H56" s="12" t="e">
        <f t="shared" si="18"/>
        <v>#N/A</v>
      </c>
      <c r="I56" s="1"/>
    </row>
    <row r="57" spans="1:9" ht="15.75" customHeight="1" x14ac:dyDescent="0.25">
      <c r="A57" s="1"/>
      <c r="B57" s="8" t="s">
        <v>93</v>
      </c>
      <c r="C57" s="8" t="s">
        <v>7</v>
      </c>
      <c r="D57" s="9" t="e">
        <f>VLOOKUP(B57,'Nutrition Plan'!$D$14:$F$24,3,0)</f>
        <v>#N/A</v>
      </c>
      <c r="E57" s="10" t="e">
        <f>D57/(12/4)</f>
        <v>#N/A</v>
      </c>
      <c r="F57" s="11" t="e">
        <f>D57/(12/1.5)</f>
        <v>#N/A</v>
      </c>
      <c r="G57" s="10" t="e">
        <f>D57/(12/5)</f>
        <v>#N/A</v>
      </c>
      <c r="H57" s="12" t="e">
        <f t="shared" si="18"/>
        <v>#N/A</v>
      </c>
      <c r="I57" s="1"/>
    </row>
    <row r="58" spans="1:9" ht="15.75" customHeight="1" x14ac:dyDescent="0.25">
      <c r="A58" s="1"/>
      <c r="B58" s="8" t="s">
        <v>95</v>
      </c>
      <c r="C58" s="8" t="s">
        <v>7</v>
      </c>
      <c r="D58" s="9" t="e">
        <f>VLOOKUP(B58,'Nutrition Plan'!$D$14:$F$24,3,0)</f>
        <v>#N/A</v>
      </c>
      <c r="E58" s="10" t="e">
        <f>D58/(14/7)</f>
        <v>#N/A</v>
      </c>
      <c r="F58" s="11" t="e">
        <f>D58/(14/2)</f>
        <v>#N/A</v>
      </c>
      <c r="G58" s="10" t="e">
        <f>D58/(14/3)</f>
        <v>#N/A</v>
      </c>
      <c r="H58" s="12" t="e">
        <f t="shared" si="18"/>
        <v>#N/A</v>
      </c>
      <c r="I58" s="1"/>
    </row>
    <row r="59" spans="1:9" ht="15.75" customHeight="1" x14ac:dyDescent="0.25">
      <c r="A59" s="1"/>
      <c r="B59" s="8" t="s">
        <v>96</v>
      </c>
      <c r="C59" s="8" t="s">
        <v>7</v>
      </c>
      <c r="D59" s="9" t="e">
        <f>VLOOKUP(B59,'Nutrition Plan'!$D$14:$F$24,3,0)</f>
        <v>#N/A</v>
      </c>
      <c r="E59" s="10" t="e">
        <f>D59/(12/6)</f>
        <v>#N/A</v>
      </c>
      <c r="F59" s="11" t="e">
        <f>D59/(12/1.5)</f>
        <v>#N/A</v>
      </c>
      <c r="G59" s="10" t="e">
        <f>D59/(12/3)</f>
        <v>#N/A</v>
      </c>
      <c r="H59" s="12" t="e">
        <f t="shared" si="18"/>
        <v>#N/A</v>
      </c>
      <c r="I59" s="1"/>
    </row>
    <row r="60" spans="1:9" ht="15.75" customHeight="1" x14ac:dyDescent="0.25">
      <c r="A60" s="1"/>
      <c r="B60" s="8" t="s">
        <v>97</v>
      </c>
      <c r="C60" s="8" t="s">
        <v>7</v>
      </c>
      <c r="D60" s="9" t="e">
        <f>VLOOKUP(B60,'Nutrition Plan'!$D$14:$F$24,3,0)</f>
        <v>#N/A</v>
      </c>
      <c r="E60" s="10" t="e">
        <f>D60/(32/7)</f>
        <v>#N/A</v>
      </c>
      <c r="F60" s="11" t="e">
        <f>D60/(32/16)</f>
        <v>#N/A</v>
      </c>
      <c r="G60" s="10" t="e">
        <f>D60/(32/6)</f>
        <v>#N/A</v>
      </c>
      <c r="H60" s="12" t="e">
        <f t="shared" si="18"/>
        <v>#N/A</v>
      </c>
      <c r="I60" s="1"/>
    </row>
    <row r="61" spans="1:9" ht="15.75" customHeight="1" x14ac:dyDescent="0.25">
      <c r="A61" s="1"/>
      <c r="B61" s="8" t="s">
        <v>98</v>
      </c>
      <c r="C61" s="8" t="s">
        <v>7</v>
      </c>
      <c r="D61" s="9" t="e">
        <f>VLOOKUP(B61,'Nutrition Plan'!$D$14:$F$24,3,0)</f>
        <v>#N/A</v>
      </c>
      <c r="E61" s="10" t="e">
        <f>D61/(28/6)</f>
        <v>#N/A</v>
      </c>
      <c r="F61" s="11" t="e">
        <f>D61/(28/14)</f>
        <v>#N/A</v>
      </c>
      <c r="G61" s="10" t="e">
        <f>D61/(28/5.6)</f>
        <v>#N/A</v>
      </c>
      <c r="H61" s="12" t="e">
        <f t="shared" si="18"/>
        <v>#N/A</v>
      </c>
      <c r="I61" s="1"/>
    </row>
    <row r="62" spans="1:9" ht="15.75" customHeight="1" x14ac:dyDescent="0.25">
      <c r="A62" s="1"/>
      <c r="B62" s="8" t="s">
        <v>99</v>
      </c>
      <c r="C62" s="8" t="s">
        <v>7</v>
      </c>
      <c r="D62" s="9" t="e">
        <f>VLOOKUP(B62,'Nutrition Plan'!$D$14:$F$24,3,0)</f>
        <v>#N/A</v>
      </c>
      <c r="E62" s="10" t="e">
        <f>D62/(100/18.22)</f>
        <v>#N/A</v>
      </c>
      <c r="F62" s="11" t="e">
        <f>D62/(100/43.85)</f>
        <v>#N/A</v>
      </c>
      <c r="G62" s="10" t="e">
        <f>D62/(100/30.19)</f>
        <v>#N/A</v>
      </c>
      <c r="H62" s="12" t="e">
        <f t="shared" si="18"/>
        <v>#N/A</v>
      </c>
      <c r="I62" s="1"/>
    </row>
    <row r="63" spans="1:9" ht="15.75" customHeight="1" x14ac:dyDescent="0.25">
      <c r="A63" s="1"/>
      <c r="B63" s="8" t="s">
        <v>100</v>
      </c>
      <c r="C63" s="8" t="s">
        <v>7</v>
      </c>
      <c r="D63" s="9" t="e">
        <f>VLOOKUP(B63,'Nutrition Plan'!$D$14:$F$24,3,0)</f>
        <v>#N/A</v>
      </c>
      <c r="E63" s="10" t="e">
        <f>D63/(28/7)</f>
        <v>#N/A</v>
      </c>
      <c r="F63" s="11" t="e">
        <f>D63/(28/14)</f>
        <v>#N/A</v>
      </c>
      <c r="G63" s="10" t="e">
        <f>D63/(28/5)</f>
        <v>#N/A</v>
      </c>
      <c r="H63" s="12" t="e">
        <f t="shared" si="18"/>
        <v>#N/A</v>
      </c>
      <c r="I63" s="1"/>
    </row>
    <row r="64" spans="1:9" ht="15.75" customHeight="1" x14ac:dyDescent="0.25">
      <c r="A64" s="1"/>
      <c r="B64" s="8" t="s">
        <v>101</v>
      </c>
      <c r="C64" s="8" t="s">
        <v>7</v>
      </c>
      <c r="D64" s="9" t="e">
        <f>VLOOKUP(B64,'Nutrition Plan'!$D$14:$F$24,3,0)</f>
        <v>#N/A</v>
      </c>
      <c r="E64" s="10" t="e">
        <f>D64/(28/6)</f>
        <v>#N/A</v>
      </c>
      <c r="F64" s="11" t="e">
        <f>D64/(28/12)</f>
        <v>#N/A</v>
      </c>
      <c r="G64" s="10" t="e">
        <f>D64/(28/8)</f>
        <v>#N/A</v>
      </c>
      <c r="H64" s="12" t="e">
        <f t="shared" si="18"/>
        <v>#N/A</v>
      </c>
      <c r="I64" s="1"/>
    </row>
    <row r="65" spans="1:9" ht="15.75" customHeight="1" x14ac:dyDescent="0.25">
      <c r="A65" s="1"/>
      <c r="B65" s="8" t="s">
        <v>102</v>
      </c>
      <c r="C65" s="8" t="s">
        <v>7</v>
      </c>
      <c r="D65" s="9" t="e">
        <f>VLOOKUP(B65,'Nutrition Plan'!$D$14:$F$24,3,0)</f>
        <v>#N/A</v>
      </c>
      <c r="E65" s="10" t="e">
        <f>D65/(28/4)</f>
        <v>#N/A</v>
      </c>
      <c r="F65" s="11" t="e">
        <f>D65/(28/18)</f>
        <v>#N/A</v>
      </c>
      <c r="G65" s="10" t="e">
        <f>D65/(28/4)</f>
        <v>#N/A</v>
      </c>
      <c r="H65" s="12" t="e">
        <f t="shared" si="18"/>
        <v>#N/A</v>
      </c>
      <c r="I65" s="1"/>
    </row>
    <row r="66" spans="1:9" ht="15.75" customHeight="1" x14ac:dyDescent="0.25">
      <c r="A66" s="1"/>
      <c r="B66" s="8" t="s">
        <v>103</v>
      </c>
      <c r="C66" s="8" t="s">
        <v>7</v>
      </c>
      <c r="D66" s="9" t="e">
        <f>VLOOKUP(B66,'Nutrition Plan'!$D$14:$F$24,3,0)</f>
        <v>#N/A</v>
      </c>
      <c r="E66" s="10">
        <f t="shared" ref="E66:E67" si="19">0</f>
        <v>0</v>
      </c>
      <c r="F66" s="11" t="e">
        <f t="shared" ref="F66:F67" si="20">D66</f>
        <v>#N/A</v>
      </c>
      <c r="G66" s="10">
        <f t="shared" ref="G66:G67" si="21">0</f>
        <v>0</v>
      </c>
      <c r="H66" s="12" t="e">
        <f t="shared" si="18"/>
        <v>#N/A</v>
      </c>
      <c r="I66" s="1"/>
    </row>
    <row r="67" spans="1:9" ht="15.75" customHeight="1" x14ac:dyDescent="0.25">
      <c r="A67" s="1"/>
      <c r="B67" s="8" t="s">
        <v>104</v>
      </c>
      <c r="C67" s="8" t="s">
        <v>7</v>
      </c>
      <c r="D67" s="9" t="e">
        <f>VLOOKUP(B67,'Nutrition Plan'!$D$14:$F$24,3,0)</f>
        <v>#N/A</v>
      </c>
      <c r="E67" s="10">
        <f t="shared" si="19"/>
        <v>0</v>
      </c>
      <c r="F67" s="11" t="e">
        <f t="shared" si="20"/>
        <v>#N/A</v>
      </c>
      <c r="G67" s="10">
        <f t="shared" si="21"/>
        <v>0</v>
      </c>
      <c r="H67" s="12" t="e">
        <f t="shared" si="18"/>
        <v>#N/A</v>
      </c>
      <c r="I67" s="1"/>
    </row>
    <row r="68" spans="1:9" ht="15.75" customHeight="1" x14ac:dyDescent="0.25">
      <c r="A68" s="1"/>
      <c r="B68" s="8" t="s">
        <v>105</v>
      </c>
      <c r="C68" s="8" t="s">
        <v>7</v>
      </c>
      <c r="D68" s="9" t="e">
        <f>VLOOKUP(B68,'Nutrition Plan'!$D$14:$F$24,3,0)</f>
        <v>#N/A</v>
      </c>
      <c r="E68" s="10" t="e">
        <f>D68/(100/16.54)</f>
        <v>#N/A</v>
      </c>
      <c r="F68" s="11" t="e">
        <f>D68/(100/30.74)</f>
        <v>#N/A</v>
      </c>
      <c r="G68" s="10" t="e">
        <f>D68/(100/42.12)</f>
        <v>#N/A</v>
      </c>
      <c r="H68" s="12" t="e">
        <f t="shared" si="18"/>
        <v>#N/A</v>
      </c>
      <c r="I68" s="1"/>
    </row>
    <row r="69" spans="1:9" ht="15.75" customHeight="1" x14ac:dyDescent="0.25">
      <c r="A69" s="1"/>
      <c r="B69" s="8" t="s">
        <v>106</v>
      </c>
      <c r="C69" s="8" t="s">
        <v>7</v>
      </c>
      <c r="D69" s="9" t="e">
        <f>VLOOKUP(B69,'Nutrition Plan'!$D$14:$F$24,3,0)</f>
        <v>#N/A</v>
      </c>
      <c r="E69" s="10" t="e">
        <f>D69/(100/18.29)</f>
        <v>#N/A</v>
      </c>
      <c r="F69" s="11" t="e">
        <f>D69/(100/42.16)</f>
        <v>#N/A</v>
      </c>
      <c r="G69" s="10" t="e">
        <f>D69/(100/28.88)</f>
        <v>#N/A</v>
      </c>
      <c r="H69" s="12" t="e">
        <f t="shared" si="18"/>
        <v>#N/A</v>
      </c>
      <c r="I69" s="1"/>
    </row>
    <row r="70" spans="1:9" ht="15.75" customHeight="1" x14ac:dyDescent="0.25">
      <c r="A70" s="1"/>
      <c r="B70" s="8" t="s">
        <v>107</v>
      </c>
      <c r="C70" s="8" t="s">
        <v>7</v>
      </c>
      <c r="D70" s="9" t="e">
        <f>VLOOKUP(B70,'Nutrition Plan'!$D$14:$F$24,3,0)</f>
        <v>#N/A</v>
      </c>
      <c r="E70" s="10" t="e">
        <f>D70/(100/31.56)</f>
        <v>#N/A</v>
      </c>
      <c r="F70" s="11" t="e">
        <f>D70/(100/48.75)</f>
        <v>#N/A</v>
      </c>
      <c r="G70" s="10" t="e">
        <f>D70/(100/8.67)</f>
        <v>#N/A</v>
      </c>
      <c r="H70" s="12" t="e">
        <f t="shared" si="18"/>
        <v>#N/A</v>
      </c>
      <c r="I70" s="1"/>
    </row>
    <row r="71" spans="1:9" ht="15.75" customHeight="1" x14ac:dyDescent="0.25">
      <c r="A71" s="1"/>
      <c r="B71" s="8" t="s">
        <v>108</v>
      </c>
      <c r="C71" s="8" t="s">
        <v>7</v>
      </c>
      <c r="D71" s="9" t="e">
        <f>VLOOKUP(B71,'Nutrition Plan'!$D$14:$F$24,3,0)</f>
        <v>#N/A</v>
      </c>
      <c r="E71" s="10" t="e">
        <f>D71/(28/6)</f>
        <v>#N/A</v>
      </c>
      <c r="F71" s="11" t="e">
        <f>D71/(28/14)</f>
        <v>#N/A</v>
      </c>
      <c r="G71" s="10" t="e">
        <f>D71/(28/6)</f>
        <v>#N/A</v>
      </c>
      <c r="H71" s="12" t="e">
        <f t="shared" si="18"/>
        <v>#N/A</v>
      </c>
      <c r="I71" s="1"/>
    </row>
    <row r="72" spans="1:9" ht="15.75" customHeight="1" x14ac:dyDescent="0.3">
      <c r="A72" s="1"/>
      <c r="B72" s="173" t="s">
        <v>33</v>
      </c>
      <c r="C72" s="174"/>
      <c r="D72" s="174"/>
      <c r="E72" s="174"/>
      <c r="F72" s="174"/>
      <c r="G72" s="174"/>
      <c r="H72" s="134"/>
      <c r="I72" s="1"/>
    </row>
    <row r="73" spans="1:9" ht="15.75" customHeight="1" x14ac:dyDescent="0.25">
      <c r="A73" s="1"/>
      <c r="B73" s="8" t="s">
        <v>180</v>
      </c>
      <c r="C73" s="8" t="s">
        <v>7</v>
      </c>
      <c r="D73" s="9" t="e">
        <f>VLOOKUP(B73,'Nutrition Plan'!$D$14:$F$24,3,0)</f>
        <v>#N/A</v>
      </c>
      <c r="E73" s="10" t="e">
        <f>D73/(28/6)</f>
        <v>#N/A</v>
      </c>
      <c r="F73" s="11" t="e">
        <f>D73/(28/0.2)</f>
        <v>#N/A</v>
      </c>
      <c r="G73" s="10">
        <v>0</v>
      </c>
      <c r="H73" s="12" t="e">
        <f t="shared" ref="H73:H108" si="22">(E73*4)+(F73*9)+(G73*4)</f>
        <v>#N/A</v>
      </c>
      <c r="I73" s="1"/>
    </row>
    <row r="74" spans="1:9" ht="15.75" customHeight="1" x14ac:dyDescent="0.25">
      <c r="A74" s="1"/>
      <c r="B74" s="8" t="s">
        <v>181</v>
      </c>
      <c r="C74" s="8" t="s">
        <v>7</v>
      </c>
      <c r="D74" s="9" t="e">
        <f>VLOOKUP(B74,'Nutrition Plan'!$D$14:$F$24,3,0)</f>
        <v>#N/A</v>
      </c>
      <c r="E74" s="10" t="e">
        <f>D74/(28/5)</f>
        <v>#N/A</v>
      </c>
      <c r="F74" s="11" t="e">
        <f>D74/(28/1)</f>
        <v>#N/A</v>
      </c>
      <c r="G74" s="10">
        <v>0</v>
      </c>
      <c r="H74" s="12" t="e">
        <f t="shared" si="22"/>
        <v>#N/A</v>
      </c>
      <c r="I74" s="1"/>
    </row>
    <row r="75" spans="1:9" ht="15.75" customHeight="1" x14ac:dyDescent="0.25">
      <c r="A75" s="1"/>
      <c r="B75" s="8" t="s">
        <v>182</v>
      </c>
      <c r="C75" s="8" t="s">
        <v>7</v>
      </c>
      <c r="D75" s="9" t="e">
        <f>VLOOKUP(B75,'Nutrition Plan'!$D$14:$F$24,3,0)</f>
        <v>#N/A</v>
      </c>
      <c r="E75" s="10" t="e">
        <f>D75/(28/6.5)</f>
        <v>#N/A</v>
      </c>
      <c r="F75" s="11" t="e">
        <f>D75/(28/0.2)</f>
        <v>#N/A</v>
      </c>
      <c r="G75" s="10">
        <v>0</v>
      </c>
      <c r="H75" s="12" t="e">
        <f t="shared" si="22"/>
        <v>#N/A</v>
      </c>
      <c r="I75" s="1"/>
    </row>
    <row r="76" spans="1:9" ht="15.75" customHeight="1" x14ac:dyDescent="0.25">
      <c r="A76" s="1"/>
      <c r="B76" s="8" t="s">
        <v>183</v>
      </c>
      <c r="C76" s="8" t="s">
        <v>7</v>
      </c>
      <c r="D76" s="9" t="e">
        <f>VLOOKUP(B76,'Nutrition Plan'!$D$14:$F$24,3,0)</f>
        <v>#N/A</v>
      </c>
      <c r="E76" s="10" t="e">
        <f>D76/(28/5)</f>
        <v>#N/A</v>
      </c>
      <c r="F76" s="11" t="e">
        <f>D76/(28/1)</f>
        <v>#N/A</v>
      </c>
      <c r="G76" s="10">
        <v>0</v>
      </c>
      <c r="H76" s="12" t="e">
        <f t="shared" si="22"/>
        <v>#N/A</v>
      </c>
      <c r="I76" s="1"/>
    </row>
    <row r="77" spans="1:9" ht="15.75" customHeight="1" x14ac:dyDescent="0.25">
      <c r="A77" s="1"/>
      <c r="B77" s="8" t="s">
        <v>184</v>
      </c>
      <c r="C77" s="8" t="s">
        <v>7</v>
      </c>
      <c r="D77" s="9" t="e">
        <f>VLOOKUP(B77,'Nutrition Plan'!$D$14:$F$24,3,0)</f>
        <v>#N/A</v>
      </c>
      <c r="E77" s="10" t="e">
        <f>D77/(28/6)</f>
        <v>#N/A</v>
      </c>
      <c r="F77" s="11" t="e">
        <f>D77/(28/0.2)</f>
        <v>#N/A</v>
      </c>
      <c r="G77" s="10">
        <v>0</v>
      </c>
      <c r="H77" s="12" t="e">
        <f t="shared" si="22"/>
        <v>#N/A</v>
      </c>
      <c r="I77" s="1"/>
    </row>
    <row r="78" spans="1:9" ht="15.75" customHeight="1" x14ac:dyDescent="0.25">
      <c r="A78" s="1"/>
      <c r="B78" s="8" t="s">
        <v>185</v>
      </c>
      <c r="C78" s="8" t="s">
        <v>7</v>
      </c>
      <c r="D78" s="9" t="e">
        <f>VLOOKUP(B78,'Nutrition Plan'!$D$14:$F$24,3,0)</f>
        <v>#N/A</v>
      </c>
      <c r="E78" s="10" t="e">
        <f>D78/(28/6.4)</f>
        <v>#N/A</v>
      </c>
      <c r="F78" s="11" t="e">
        <f>D78/(28/0.5)</f>
        <v>#N/A</v>
      </c>
      <c r="G78" s="10">
        <v>0</v>
      </c>
      <c r="H78" s="12" t="e">
        <f t="shared" si="22"/>
        <v>#N/A</v>
      </c>
      <c r="I78" s="1"/>
    </row>
    <row r="79" spans="1:9" ht="15.75" customHeight="1" x14ac:dyDescent="0.25">
      <c r="A79" s="1"/>
      <c r="B79" s="8" t="s">
        <v>186</v>
      </c>
      <c r="C79" s="8" t="s">
        <v>7</v>
      </c>
      <c r="D79" s="9" t="e">
        <f>VLOOKUP(B79,'Nutrition Plan'!$D$14:$F$24,3,0)</f>
        <v>#N/A</v>
      </c>
      <c r="E79" s="10" t="e">
        <f t="shared" ref="E79:E80" si="23">D79/(28/7)</f>
        <v>#N/A</v>
      </c>
      <c r="F79" s="11" t="e">
        <f>D79/(28/1)</f>
        <v>#N/A</v>
      </c>
      <c r="G79" s="10">
        <v>0</v>
      </c>
      <c r="H79" s="12" t="e">
        <f t="shared" si="22"/>
        <v>#N/A</v>
      </c>
      <c r="I79" s="1"/>
    </row>
    <row r="80" spans="1:9" ht="15.75" customHeight="1" x14ac:dyDescent="0.25">
      <c r="A80" s="1"/>
      <c r="B80" s="8" t="s">
        <v>187</v>
      </c>
      <c r="C80" s="8" t="s">
        <v>7</v>
      </c>
      <c r="D80" s="9" t="e">
        <f>VLOOKUP(B80,'Nutrition Plan'!$D$14:$F$24,3,0)</f>
        <v>#N/A</v>
      </c>
      <c r="E80" s="10" t="e">
        <f t="shared" si="23"/>
        <v>#N/A</v>
      </c>
      <c r="F80" s="11" t="e">
        <f>D80/(28/0.5)</f>
        <v>#N/A</v>
      </c>
      <c r="G80" s="10">
        <v>0</v>
      </c>
      <c r="H80" s="12" t="e">
        <f t="shared" si="22"/>
        <v>#N/A</v>
      </c>
      <c r="I80" s="1"/>
    </row>
    <row r="81" spans="1:9" ht="15.75" customHeight="1" x14ac:dyDescent="0.25">
      <c r="A81" s="1"/>
      <c r="B81" s="8" t="s">
        <v>188</v>
      </c>
      <c r="C81" s="8" t="s">
        <v>7</v>
      </c>
      <c r="D81" s="9" t="e">
        <f>VLOOKUP(B81,'Nutrition Plan'!$D$14:$F$24,3,0)</f>
        <v>#N/A</v>
      </c>
      <c r="E81" s="10" t="e">
        <f>D81/(28/6)</f>
        <v>#N/A</v>
      </c>
      <c r="F81" s="11" t="e">
        <f>D81/(28/0.25)</f>
        <v>#N/A</v>
      </c>
      <c r="G81" s="10">
        <v>0</v>
      </c>
      <c r="H81" s="12" t="e">
        <f t="shared" si="22"/>
        <v>#N/A</v>
      </c>
      <c r="I81" s="1"/>
    </row>
    <row r="82" spans="1:9" ht="15.75" customHeight="1" x14ac:dyDescent="0.25">
      <c r="A82" s="1"/>
      <c r="B82" s="8" t="s">
        <v>189</v>
      </c>
      <c r="C82" s="8" t="s">
        <v>7</v>
      </c>
      <c r="D82" s="9" t="e">
        <f>VLOOKUP(B82,'Nutrition Plan'!$D$14:$F$24,3,0)</f>
        <v>#N/A</v>
      </c>
      <c r="E82" s="10" t="e">
        <f>D82/(28/7)</f>
        <v>#N/A</v>
      </c>
      <c r="F82" s="11" t="e">
        <f>D82/(28/0.75)</f>
        <v>#N/A</v>
      </c>
      <c r="G82" s="10">
        <v>0</v>
      </c>
      <c r="H82" s="12" t="e">
        <f t="shared" si="22"/>
        <v>#N/A</v>
      </c>
      <c r="I82" s="1"/>
    </row>
    <row r="83" spans="1:9" ht="15.75" customHeight="1" x14ac:dyDescent="0.25">
      <c r="A83" s="1"/>
      <c r="B83" s="8" t="s">
        <v>190</v>
      </c>
      <c r="C83" s="8" t="s">
        <v>7</v>
      </c>
      <c r="D83" s="9" t="e">
        <f>VLOOKUP(B83,'Nutrition Plan'!$D$14:$F$24,3,0)</f>
        <v>#N/A</v>
      </c>
      <c r="E83" s="10" t="e">
        <f>D83/(113/23.98)</f>
        <v>#N/A</v>
      </c>
      <c r="F83" s="11" t="e">
        <f>D83/(113/0.28)</f>
        <v>#N/A</v>
      </c>
      <c r="G83" s="10" t="e">
        <f>D83/(113/0.2)</f>
        <v>#N/A</v>
      </c>
      <c r="H83" s="12" t="e">
        <f t="shared" si="22"/>
        <v>#N/A</v>
      </c>
      <c r="I83" s="1"/>
    </row>
    <row r="84" spans="1:9" ht="15.75" customHeight="1" x14ac:dyDescent="0.25">
      <c r="A84" s="1"/>
      <c r="B84" s="8" t="s">
        <v>191</v>
      </c>
      <c r="C84" s="8" t="s">
        <v>7</v>
      </c>
      <c r="D84" s="9" t="e">
        <f>VLOOKUP(B84,'Nutrition Plan'!$D$14:$F$24,3,0)</f>
        <v>#N/A</v>
      </c>
      <c r="E84" s="10" t="e">
        <f>D84/(113/15)</f>
        <v>#N/A</v>
      </c>
      <c r="F84" s="11" t="e">
        <f>D84/(113/5)</f>
        <v>#N/A</v>
      </c>
      <c r="G84" s="10">
        <f t="shared" ref="G84:G85" si="24">0</f>
        <v>0</v>
      </c>
      <c r="H84" s="12" t="e">
        <f t="shared" si="22"/>
        <v>#N/A</v>
      </c>
      <c r="I84" s="1"/>
    </row>
    <row r="85" spans="1:9" ht="15.75" customHeight="1" x14ac:dyDescent="0.25">
      <c r="A85" s="1"/>
      <c r="B85" s="8" t="s">
        <v>192</v>
      </c>
      <c r="C85" s="8" t="s">
        <v>7</v>
      </c>
      <c r="D85" s="9" t="e">
        <f>VLOOKUP(B85,'Nutrition Plan'!$D$14:$F$24,3,0)</f>
        <v>#N/A</v>
      </c>
      <c r="E85" s="10" t="e">
        <f>D85/(100/26.15)</f>
        <v>#N/A</v>
      </c>
      <c r="F85" s="11" t="e">
        <f>D85/(100/2.65)</f>
        <v>#N/A</v>
      </c>
      <c r="G85" s="10">
        <f t="shared" si="24"/>
        <v>0</v>
      </c>
      <c r="H85" s="12" t="e">
        <f t="shared" si="22"/>
        <v>#N/A</v>
      </c>
      <c r="I85" s="1"/>
    </row>
    <row r="86" spans="1:9" ht="15.75" customHeight="1" x14ac:dyDescent="0.25">
      <c r="A86" s="1"/>
      <c r="B86" s="8" t="s">
        <v>109</v>
      </c>
      <c r="C86" s="8" t="s">
        <v>7</v>
      </c>
      <c r="D86" s="9" t="e">
        <f>VLOOKUP(B86,'Nutrition Plan'!$D$14:$F$24,3,0)</f>
        <v>#N/A</v>
      </c>
      <c r="E86" s="10" t="e">
        <f>D86/(56/13)</f>
        <v>#N/A</v>
      </c>
      <c r="F86" s="11">
        <f t="shared" ref="F86:G86" si="25">0</f>
        <v>0</v>
      </c>
      <c r="G86" s="10">
        <f t="shared" si="25"/>
        <v>0</v>
      </c>
      <c r="H86" s="12" t="e">
        <f t="shared" si="22"/>
        <v>#N/A</v>
      </c>
      <c r="I86" s="1"/>
    </row>
    <row r="87" spans="1:9" ht="15.75" customHeight="1" x14ac:dyDescent="0.25">
      <c r="A87" s="1"/>
      <c r="B87" s="8" t="s">
        <v>110</v>
      </c>
      <c r="C87" s="8" t="s">
        <v>7</v>
      </c>
      <c r="D87" s="9" t="e">
        <f>VLOOKUP(B87,'Nutrition Plan'!$D$14:$F$24,3,0)</f>
        <v>#N/A</v>
      </c>
      <c r="E87" s="10" t="e">
        <f>D87/(56/11)</f>
        <v>#N/A</v>
      </c>
      <c r="F87" s="11">
        <f t="shared" ref="F87:G87" si="26">0</f>
        <v>0</v>
      </c>
      <c r="G87" s="10">
        <f t="shared" si="26"/>
        <v>0</v>
      </c>
      <c r="H87" s="12" t="e">
        <f t="shared" si="22"/>
        <v>#N/A</v>
      </c>
      <c r="I87" s="1"/>
    </row>
    <row r="88" spans="1:9" ht="15.75" customHeight="1" x14ac:dyDescent="0.25">
      <c r="A88" s="1"/>
      <c r="B88" s="8" t="s">
        <v>111</v>
      </c>
      <c r="C88" s="8" t="s">
        <v>7</v>
      </c>
      <c r="D88" s="9" t="e">
        <f>VLOOKUP(B88,'Nutrition Plan'!$D$14:$F$24,3,0)</f>
        <v>#N/A</v>
      </c>
      <c r="E88" s="10" t="e">
        <f>D88/(56/13)</f>
        <v>#N/A</v>
      </c>
      <c r="F88" s="11">
        <f t="shared" ref="F88:G88" si="27">0</f>
        <v>0</v>
      </c>
      <c r="G88" s="10">
        <f t="shared" si="27"/>
        <v>0</v>
      </c>
      <c r="H88" s="12" t="e">
        <f t="shared" si="22"/>
        <v>#N/A</v>
      </c>
      <c r="I88" s="1"/>
    </row>
    <row r="89" spans="1:9" ht="15.75" customHeight="1" x14ac:dyDescent="0.25">
      <c r="A89" s="1"/>
      <c r="B89" s="8" t="s">
        <v>193</v>
      </c>
      <c r="C89" s="8" t="s">
        <v>7</v>
      </c>
      <c r="D89" s="9" t="e">
        <f>VLOOKUP(B89,'Nutrition Plan'!$D$14:$F$24,3,0)</f>
        <v>#N/A</v>
      </c>
      <c r="E89" s="10" t="e">
        <f>D89/(85/25.5)</f>
        <v>#N/A</v>
      </c>
      <c r="F89" s="11" t="e">
        <f>D89/(85/1)</f>
        <v>#N/A</v>
      </c>
      <c r="G89" s="10">
        <f t="shared" ref="G89:G90" si="28">0</f>
        <v>0</v>
      </c>
      <c r="H89" s="12" t="e">
        <f t="shared" si="22"/>
        <v>#N/A</v>
      </c>
      <c r="I89" s="1"/>
    </row>
    <row r="90" spans="1:9" ht="15.75" customHeight="1" x14ac:dyDescent="0.25">
      <c r="A90" s="1"/>
      <c r="B90" s="8" t="s">
        <v>194</v>
      </c>
      <c r="C90" s="8" t="s">
        <v>7</v>
      </c>
      <c r="D90" s="9" t="e">
        <f>VLOOKUP(B90,'Nutrition Plan'!$D$14:$F$24,3,0)</f>
        <v>#N/A</v>
      </c>
      <c r="E90" s="10" t="e">
        <f>D90/(100/25.45)</f>
        <v>#N/A</v>
      </c>
      <c r="F90" s="11" t="e">
        <f>D90/(100/8.62)</f>
        <v>#N/A</v>
      </c>
      <c r="G90" s="10">
        <f t="shared" si="28"/>
        <v>0</v>
      </c>
      <c r="H90" s="12" t="e">
        <f t="shared" si="22"/>
        <v>#N/A</v>
      </c>
      <c r="I90" s="1"/>
    </row>
    <row r="91" spans="1:9" ht="15.75" customHeight="1" x14ac:dyDescent="0.25">
      <c r="A91" s="1"/>
      <c r="B91" s="8" t="s">
        <v>195</v>
      </c>
      <c r="C91" s="8" t="s">
        <v>7</v>
      </c>
      <c r="D91" s="9" t="e">
        <f>VLOOKUP(B91,'Nutrition Plan'!$D$14:$F$24,3,0)</f>
        <v>#N/A</v>
      </c>
      <c r="E91" s="10" t="e">
        <f>D91/(28/8)</f>
        <v>#N/A</v>
      </c>
      <c r="F91" s="11" t="e">
        <f>D91/(28/1)</f>
        <v>#N/A</v>
      </c>
      <c r="G91" s="10">
        <v>0</v>
      </c>
      <c r="H91" s="12" t="e">
        <f t="shared" si="22"/>
        <v>#N/A</v>
      </c>
      <c r="I91" s="1"/>
    </row>
    <row r="92" spans="1:9" ht="15.75" customHeight="1" x14ac:dyDescent="0.25">
      <c r="A92" s="1"/>
      <c r="B92" s="8" t="s">
        <v>196</v>
      </c>
      <c r="C92" s="8" t="s">
        <v>7</v>
      </c>
      <c r="D92" s="9" t="e">
        <f>VLOOKUP(B92,'Nutrition Plan'!$D$14:$F$24,3,0)</f>
        <v>#N/A</v>
      </c>
      <c r="E92" s="10" t="e">
        <f>D92/(100/26.14)</f>
        <v>#N/A</v>
      </c>
      <c r="F92" s="11" t="e">
        <f>D92/(100/11.78)</f>
        <v>#N/A</v>
      </c>
      <c r="G92" s="10">
        <v>0</v>
      </c>
      <c r="H92" s="12" t="e">
        <f t="shared" si="22"/>
        <v>#N/A</v>
      </c>
      <c r="I92" s="1"/>
    </row>
    <row r="93" spans="1:9" ht="15.75" customHeight="1" x14ac:dyDescent="0.25">
      <c r="A93" s="1"/>
      <c r="B93" s="8" t="s">
        <v>197</v>
      </c>
      <c r="C93" s="8" t="s">
        <v>7</v>
      </c>
      <c r="D93" s="9" t="e">
        <f>VLOOKUP(B93,'Nutrition Plan'!$D$14:$F$24,3,0)</f>
        <v>#N/A</v>
      </c>
      <c r="E93" s="10" t="e">
        <f>D93/(100/28.88)</f>
        <v>#N/A</v>
      </c>
      <c r="F93" s="11" t="e">
        <f>D93/(100/9.51)</f>
        <v>#N/A</v>
      </c>
      <c r="G93" s="10">
        <v>0</v>
      </c>
      <c r="H93" s="12" t="e">
        <f t="shared" si="22"/>
        <v>#N/A</v>
      </c>
      <c r="I93" s="1"/>
    </row>
    <row r="94" spans="1:9" ht="15.75" customHeight="1" x14ac:dyDescent="0.25">
      <c r="A94" s="1"/>
      <c r="B94" s="8" t="s">
        <v>198</v>
      </c>
      <c r="C94" s="8" t="s">
        <v>7</v>
      </c>
      <c r="D94" s="9" t="e">
        <f>VLOOKUP(B94,'Nutrition Plan'!$D$14:$F$24,3,0)</f>
        <v>#N/A</v>
      </c>
      <c r="E94" s="10" t="e">
        <f>D94/(100/29.32)</f>
        <v>#N/A</v>
      </c>
      <c r="F94" s="11" t="e">
        <f>D94/(100/6.52)</f>
        <v>#N/A</v>
      </c>
      <c r="G94" s="10">
        <v>0</v>
      </c>
      <c r="H94" s="12" t="e">
        <f t="shared" si="22"/>
        <v>#N/A</v>
      </c>
      <c r="I94" s="1"/>
    </row>
    <row r="95" spans="1:9" ht="15.75" customHeight="1" x14ac:dyDescent="0.25">
      <c r="A95" s="1"/>
      <c r="B95" s="8" t="s">
        <v>199</v>
      </c>
      <c r="C95" s="8" t="s">
        <v>7</v>
      </c>
      <c r="D95" s="9" t="e">
        <f>VLOOKUP(B95,'Nutrition Plan'!$D$14:$F$24,3,0)</f>
        <v>#N/A</v>
      </c>
      <c r="E95" s="10" t="e">
        <f>D95/(84/23)</f>
        <v>#N/A</v>
      </c>
      <c r="F95" s="11" t="e">
        <f>D95/(84/1.5)</f>
        <v>#N/A</v>
      </c>
      <c r="G95" s="10">
        <f t="shared" ref="G95:G97" si="29">0</f>
        <v>0</v>
      </c>
      <c r="H95" s="12" t="e">
        <f t="shared" si="22"/>
        <v>#N/A</v>
      </c>
      <c r="I95" s="1"/>
    </row>
    <row r="96" spans="1:9" ht="15.75" customHeight="1" x14ac:dyDescent="0.25">
      <c r="A96" s="1"/>
      <c r="B96" s="8" t="s">
        <v>200</v>
      </c>
      <c r="C96" s="8" t="s">
        <v>7</v>
      </c>
      <c r="D96" s="9" t="e">
        <f>VLOOKUP(B96,'Nutrition Plan'!$D$14:$F$24,3,0)</f>
        <v>#N/A</v>
      </c>
      <c r="E96" s="10" t="e">
        <f>D96/(94/26)</f>
        <v>#N/A</v>
      </c>
      <c r="F96" s="11" t="e">
        <f>D96/(94/1)</f>
        <v>#N/A</v>
      </c>
      <c r="G96" s="10">
        <f t="shared" si="29"/>
        <v>0</v>
      </c>
      <c r="H96" s="12" t="e">
        <f t="shared" si="22"/>
        <v>#N/A</v>
      </c>
      <c r="I96" s="1"/>
    </row>
    <row r="97" spans="1:9" ht="15.75" customHeight="1" x14ac:dyDescent="0.25">
      <c r="A97" s="1"/>
      <c r="B97" s="8" t="s">
        <v>201</v>
      </c>
      <c r="C97" s="8" t="s">
        <v>7</v>
      </c>
      <c r="D97" s="9" t="e">
        <f>VLOOKUP(B97,'Nutrition Plan'!$D$14:$F$24,3,0)</f>
        <v>#N/A</v>
      </c>
      <c r="E97" s="10" t="e">
        <f>D97/(100/31)</f>
        <v>#N/A</v>
      </c>
      <c r="F97" s="11" t="e">
        <f>D97/(100/3.8)</f>
        <v>#N/A</v>
      </c>
      <c r="G97" s="10">
        <f t="shared" si="29"/>
        <v>0</v>
      </c>
      <c r="H97" s="12" t="e">
        <f t="shared" si="22"/>
        <v>#N/A</v>
      </c>
      <c r="I97" s="1"/>
    </row>
    <row r="98" spans="1:9" ht="15.75" customHeight="1" x14ac:dyDescent="0.25">
      <c r="A98" s="1"/>
      <c r="B98" s="8" t="s">
        <v>202</v>
      </c>
      <c r="C98" s="8" t="s">
        <v>7</v>
      </c>
      <c r="D98" s="9" t="e">
        <f>VLOOKUP(B98,'Nutrition Plan'!$D$14:$F$24,3,0)</f>
        <v>#N/A</v>
      </c>
      <c r="E98" s="10" t="e">
        <f>D98/(28/6.57)</f>
        <v>#N/A</v>
      </c>
      <c r="F98" s="11" t="e">
        <f>D98/(28/3.14)</f>
        <v>#N/A</v>
      </c>
      <c r="G98" s="10">
        <v>0</v>
      </c>
      <c r="H98" s="12" t="e">
        <f t="shared" si="22"/>
        <v>#N/A</v>
      </c>
      <c r="I98" s="1"/>
    </row>
    <row r="99" spans="1:9" ht="15.75" customHeight="1" x14ac:dyDescent="0.25">
      <c r="A99" s="1"/>
      <c r="B99" s="8" t="s">
        <v>112</v>
      </c>
      <c r="C99" s="8" t="s">
        <v>22</v>
      </c>
      <c r="D99" s="9" t="e">
        <f>VLOOKUP(B99,'Nutrition Plan'!$D$14:$F$24,3,0)</f>
        <v>#N/A</v>
      </c>
      <c r="E99" s="10" t="e">
        <f>D99/(28/6)</f>
        <v>#N/A</v>
      </c>
      <c r="F99" s="11" t="e">
        <f>D99/(28/1.5)</f>
        <v>#N/A</v>
      </c>
      <c r="G99" s="10" t="e">
        <f>D99/(28/1)</f>
        <v>#N/A</v>
      </c>
      <c r="H99" s="12" t="e">
        <f t="shared" si="22"/>
        <v>#N/A</v>
      </c>
      <c r="I99" s="1"/>
    </row>
    <row r="100" spans="1:9" ht="15.75" customHeight="1" x14ac:dyDescent="0.25">
      <c r="A100" s="1"/>
      <c r="B100" s="8" t="s">
        <v>113</v>
      </c>
      <c r="C100" s="8" t="s">
        <v>114</v>
      </c>
      <c r="D100" s="9" t="e">
        <f>VLOOKUP(B100,'Nutrition Plan'!$D$14:$F$24,3,0)</f>
        <v>#N/A</v>
      </c>
      <c r="E100" s="10" t="e">
        <f>D100/(1/21)</f>
        <v>#N/A</v>
      </c>
      <c r="F100" s="11" t="e">
        <f t="shared" ref="F100:F101" si="30">D100/(1/9)</f>
        <v>#N/A</v>
      </c>
      <c r="G100" s="10">
        <f t="shared" ref="G100:G101" si="31">0</f>
        <v>0</v>
      </c>
      <c r="H100" s="12" t="e">
        <f t="shared" si="22"/>
        <v>#N/A</v>
      </c>
      <c r="I100" s="1"/>
    </row>
    <row r="101" spans="1:9" ht="15.75" customHeight="1" x14ac:dyDescent="0.25">
      <c r="A101" s="1"/>
      <c r="B101" s="8" t="s">
        <v>115</v>
      </c>
      <c r="C101" s="8" t="s">
        <v>114</v>
      </c>
      <c r="D101" s="9" t="e">
        <f>VLOOKUP(B101,'Nutrition Plan'!$D$14:$F$24,3,0)</f>
        <v>#N/A</v>
      </c>
      <c r="E101" s="10" t="e">
        <f>D101/(1/20)</f>
        <v>#N/A</v>
      </c>
      <c r="F101" s="11" t="e">
        <f t="shared" si="30"/>
        <v>#N/A</v>
      </c>
      <c r="G101" s="10">
        <f t="shared" si="31"/>
        <v>0</v>
      </c>
      <c r="H101" s="12" t="e">
        <f t="shared" si="22"/>
        <v>#N/A</v>
      </c>
      <c r="I101" s="1"/>
    </row>
    <row r="102" spans="1:9" ht="15.75" customHeight="1" x14ac:dyDescent="0.25">
      <c r="A102" s="1"/>
      <c r="B102" s="8" t="s">
        <v>116</v>
      </c>
      <c r="C102" s="8" t="s">
        <v>7</v>
      </c>
      <c r="D102" s="9" t="e">
        <f>VLOOKUP(B102,'Nutrition Plan'!$D$14:$F$24,3,0)</f>
        <v>#N/A</v>
      </c>
      <c r="E102" s="10" t="e">
        <f>D102/(28/6)</f>
        <v>#N/A</v>
      </c>
      <c r="F102" s="11" t="e">
        <f>D102/(28/1.5)</f>
        <v>#N/A</v>
      </c>
      <c r="G102" s="10">
        <v>0</v>
      </c>
      <c r="H102" s="12" t="e">
        <f t="shared" si="22"/>
        <v>#N/A</v>
      </c>
      <c r="I102" s="1"/>
    </row>
    <row r="103" spans="1:9" ht="15.75" customHeight="1" x14ac:dyDescent="0.25">
      <c r="A103" s="1"/>
      <c r="B103" s="8" t="s">
        <v>117</v>
      </c>
      <c r="C103" s="8" t="s">
        <v>7</v>
      </c>
      <c r="D103" s="9" t="e">
        <f>VLOOKUP(B103,'Nutrition Plan'!$D$14:$F$24,3,0)</f>
        <v>#N/A</v>
      </c>
      <c r="E103" s="10" t="e">
        <f>D103/(28/5.28)</f>
        <v>#N/A</v>
      </c>
      <c r="F103" s="11" t="e">
        <f>D103/(28/2.13)</f>
        <v>#N/A</v>
      </c>
      <c r="G103" s="10">
        <v>0</v>
      </c>
      <c r="H103" s="12" t="e">
        <f t="shared" si="22"/>
        <v>#N/A</v>
      </c>
      <c r="I103" s="1"/>
    </row>
    <row r="104" spans="1:9" ht="15.75" customHeight="1" x14ac:dyDescent="0.25">
      <c r="A104" s="1"/>
      <c r="B104" s="8" t="s">
        <v>203</v>
      </c>
      <c r="C104" s="8" t="s">
        <v>7</v>
      </c>
      <c r="D104" s="9" t="e">
        <f>VLOOKUP(B104,'Nutrition Plan'!$D$14:$F$24,3,0)</f>
        <v>#N/A</v>
      </c>
      <c r="E104" s="10" t="e">
        <f t="shared" ref="E104:E105" si="32">D104/(28/8)</f>
        <v>#N/A</v>
      </c>
      <c r="F104" s="11" t="e">
        <f t="shared" ref="F104:F105" si="33">D104/(28/3)</f>
        <v>#N/A</v>
      </c>
      <c r="G104" s="10">
        <v>0</v>
      </c>
      <c r="H104" s="12" t="e">
        <f t="shared" si="22"/>
        <v>#N/A</v>
      </c>
      <c r="I104" s="1"/>
    </row>
    <row r="105" spans="1:9" ht="15.75" customHeight="1" x14ac:dyDescent="0.25">
      <c r="A105" s="1"/>
      <c r="B105" s="8" t="s">
        <v>204</v>
      </c>
      <c r="C105" s="8" t="s">
        <v>7</v>
      </c>
      <c r="D105" s="9" t="e">
        <f>VLOOKUP(B105,'Nutrition Plan'!$D$14:$F$24,3,0)</f>
        <v>#N/A</v>
      </c>
      <c r="E105" s="10" t="e">
        <f t="shared" si="32"/>
        <v>#N/A</v>
      </c>
      <c r="F105" s="11" t="e">
        <f t="shared" si="33"/>
        <v>#N/A</v>
      </c>
      <c r="G105" s="10">
        <v>0</v>
      </c>
      <c r="H105" s="12" t="e">
        <f t="shared" si="22"/>
        <v>#N/A</v>
      </c>
      <c r="I105" s="1"/>
    </row>
    <row r="106" spans="1:9" ht="15.75" customHeight="1" x14ac:dyDescent="0.25">
      <c r="A106" s="1"/>
      <c r="B106" s="8" t="s">
        <v>205</v>
      </c>
      <c r="C106" s="8" t="s">
        <v>7</v>
      </c>
      <c r="D106" s="9" t="e">
        <f>VLOOKUP(B106,'Nutrition Plan'!$D$14:$F$24,3,0)</f>
        <v>#N/A</v>
      </c>
      <c r="E106" s="10" t="e">
        <f>D106/(100/22.7)</f>
        <v>#N/A</v>
      </c>
      <c r="F106" s="11" t="e">
        <f>D106/(100/3.8)</f>
        <v>#N/A</v>
      </c>
      <c r="G106" s="10">
        <f t="shared" ref="G106:G108" si="34">0</f>
        <v>0</v>
      </c>
      <c r="H106" s="12" t="e">
        <f t="shared" si="22"/>
        <v>#N/A</v>
      </c>
      <c r="I106" s="1"/>
    </row>
    <row r="107" spans="1:9" ht="15.75" customHeight="1" x14ac:dyDescent="0.25">
      <c r="A107" s="1"/>
      <c r="B107" s="8" t="s">
        <v>206</v>
      </c>
      <c r="C107" s="8" t="s">
        <v>7</v>
      </c>
      <c r="D107" s="9" t="e">
        <f>VLOOKUP(B107,'Nutrition Plan'!$D$14:$F$24,3,0)</f>
        <v>#N/A</v>
      </c>
      <c r="E107" s="10" t="e">
        <f>D107/(100/30.24)</f>
        <v>#N/A</v>
      </c>
      <c r="F107" s="11" t="e">
        <f>D107/(100/4.11)</f>
        <v>#N/A</v>
      </c>
      <c r="G107" s="10">
        <f t="shared" si="34"/>
        <v>0</v>
      </c>
      <c r="H107" s="12" t="e">
        <f t="shared" si="22"/>
        <v>#N/A</v>
      </c>
      <c r="I107" s="1"/>
    </row>
    <row r="108" spans="1:9" ht="15.75" customHeight="1" x14ac:dyDescent="0.25">
      <c r="A108" s="1"/>
      <c r="B108" s="8" t="s">
        <v>207</v>
      </c>
      <c r="C108" s="8" t="s">
        <v>7</v>
      </c>
      <c r="D108" s="9" t="e">
        <f>VLOOKUP(B108,'Nutrition Plan'!$D$14:$F$24,3,0)</f>
        <v>#N/A</v>
      </c>
      <c r="E108" s="10" t="e">
        <f>D108/(100/30.7)</f>
        <v>#N/A</v>
      </c>
      <c r="F108" s="11" t="e">
        <f>D108/(100/10.27)</f>
        <v>#N/A</v>
      </c>
      <c r="G108" s="10">
        <f t="shared" si="34"/>
        <v>0</v>
      </c>
      <c r="H108" s="12" t="e">
        <f t="shared" si="22"/>
        <v>#N/A</v>
      </c>
      <c r="I108" s="1"/>
    </row>
    <row r="109" spans="1:9" ht="15.75" customHeight="1" x14ac:dyDescent="0.3">
      <c r="A109" s="1"/>
      <c r="B109" s="173" t="s">
        <v>36</v>
      </c>
      <c r="C109" s="174"/>
      <c r="D109" s="174"/>
      <c r="E109" s="174"/>
      <c r="F109" s="174"/>
      <c r="G109" s="174"/>
      <c r="H109" s="134"/>
      <c r="I109" s="1"/>
    </row>
    <row r="110" spans="1:9" ht="15.75" customHeight="1" x14ac:dyDescent="0.25">
      <c r="A110" s="1"/>
      <c r="B110" s="8" t="s">
        <v>118</v>
      </c>
      <c r="C110" s="8" t="s">
        <v>7</v>
      </c>
      <c r="D110" s="9" t="e">
        <f>VLOOKUP(B110,'Nutrition Plan'!$D$14:$F$24,3,0)</f>
        <v>#N/A</v>
      </c>
      <c r="E110" s="10" t="e">
        <f>D110/(32.5/25)</f>
        <v>#N/A</v>
      </c>
      <c r="F110" s="11" t="e">
        <f>D110/(32.5/1)</f>
        <v>#N/A</v>
      </c>
      <c r="G110" s="10" t="e">
        <f>D110/(32.5/3)</f>
        <v>#N/A</v>
      </c>
      <c r="H110" s="12" t="e">
        <f t="shared" ref="H110:H131" si="35">(E110*4)+(F110*9)+(G110*4)</f>
        <v>#N/A</v>
      </c>
      <c r="I110" s="1"/>
    </row>
    <row r="111" spans="1:9" ht="15.75" customHeight="1" x14ac:dyDescent="0.25">
      <c r="A111" s="1"/>
      <c r="B111" s="8" t="s">
        <v>119</v>
      </c>
      <c r="C111" s="8" t="s">
        <v>7</v>
      </c>
      <c r="D111" s="9" t="e">
        <f>VLOOKUP(B111,'Nutrition Plan'!$D$14:$F$24,3,0)</f>
        <v>#N/A</v>
      </c>
      <c r="E111" s="10" t="e">
        <f>D111/(32/25)</f>
        <v>#N/A</v>
      </c>
      <c r="F111" s="11" t="e">
        <f>D111/(32/1.5)</f>
        <v>#N/A</v>
      </c>
      <c r="G111" s="10" t="e">
        <f>D111/(32/3)</f>
        <v>#N/A</v>
      </c>
      <c r="H111" s="12" t="e">
        <f t="shared" si="35"/>
        <v>#N/A</v>
      </c>
      <c r="I111" s="1"/>
    </row>
    <row r="112" spans="1:9" ht="15.75" customHeight="1" x14ac:dyDescent="0.25">
      <c r="A112" s="1"/>
      <c r="B112" s="8" t="s">
        <v>120</v>
      </c>
      <c r="C112" s="8" t="s">
        <v>7</v>
      </c>
      <c r="D112" s="9" t="e">
        <f>VLOOKUP(B112,'Nutrition Plan'!$D$14:$F$24,3,0)</f>
        <v>#N/A</v>
      </c>
      <c r="E112" s="10" t="e">
        <f>D112/(36/25)</f>
        <v>#N/A</v>
      </c>
      <c r="F112" s="11" t="e">
        <f>D112/(36/1.5)</f>
        <v>#N/A</v>
      </c>
      <c r="G112" s="10" t="e">
        <f>D112/(36/3)</f>
        <v>#N/A</v>
      </c>
      <c r="H112" s="12" t="e">
        <f t="shared" si="35"/>
        <v>#N/A</v>
      </c>
      <c r="I112" s="1"/>
    </row>
    <row r="113" spans="1:9" ht="15.75" customHeight="1" x14ac:dyDescent="0.25">
      <c r="A113" s="1"/>
      <c r="B113" s="8" t="s">
        <v>121</v>
      </c>
      <c r="C113" s="8" t="s">
        <v>7</v>
      </c>
      <c r="D113" s="9" t="e">
        <f>VLOOKUP(B113,'Nutrition Plan'!$D$14:$F$24,3,0)</f>
        <v>#N/A</v>
      </c>
      <c r="E113" s="10" t="e">
        <f t="shared" ref="E113:E114" si="36">D113/(33/25)</f>
        <v>#N/A</v>
      </c>
      <c r="F113" s="11" t="e">
        <f t="shared" ref="F113:F114" si="37">D113/(33/1.5)</f>
        <v>#N/A</v>
      </c>
      <c r="G113" s="10" t="e">
        <f t="shared" ref="G113:G114" si="38">D113/(33/3)</f>
        <v>#N/A</v>
      </c>
      <c r="H113" s="12" t="e">
        <f t="shared" si="35"/>
        <v>#N/A</v>
      </c>
      <c r="I113" s="1"/>
    </row>
    <row r="114" spans="1:9" ht="15.75" customHeight="1" x14ac:dyDescent="0.25">
      <c r="A114" s="1"/>
      <c r="B114" s="8" t="s">
        <v>122</v>
      </c>
      <c r="C114" s="8" t="s">
        <v>7</v>
      </c>
      <c r="D114" s="9" t="e">
        <f>VLOOKUP(B114,'Nutrition Plan'!$D$14:$F$24,3,0)</f>
        <v>#N/A</v>
      </c>
      <c r="E114" s="10" t="e">
        <f t="shared" si="36"/>
        <v>#N/A</v>
      </c>
      <c r="F114" s="11" t="e">
        <f t="shared" si="37"/>
        <v>#N/A</v>
      </c>
      <c r="G114" s="10" t="e">
        <f t="shared" si="38"/>
        <v>#N/A</v>
      </c>
      <c r="H114" s="12" t="e">
        <f t="shared" si="35"/>
        <v>#N/A</v>
      </c>
      <c r="I114" s="1"/>
    </row>
    <row r="115" spans="1:9" ht="15.75" customHeight="1" x14ac:dyDescent="0.25">
      <c r="A115" s="1"/>
      <c r="B115" s="8" t="s">
        <v>123</v>
      </c>
      <c r="C115" s="8" t="s">
        <v>7</v>
      </c>
      <c r="D115" s="9" t="e">
        <f>VLOOKUP(B115,'Nutrition Plan'!$D$14:$F$24,3,0)</f>
        <v>#N/A</v>
      </c>
      <c r="E115" s="10" t="e">
        <f>D115/(36/25)</f>
        <v>#N/A</v>
      </c>
      <c r="F115" s="11" t="e">
        <f>D115/(36/1.5)</f>
        <v>#N/A</v>
      </c>
      <c r="G115" s="10" t="e">
        <f>D115/(36/5)</f>
        <v>#N/A</v>
      </c>
      <c r="H115" s="12" t="e">
        <f t="shared" si="35"/>
        <v>#N/A</v>
      </c>
      <c r="I115" s="1"/>
    </row>
    <row r="116" spans="1:9" ht="15.75" customHeight="1" x14ac:dyDescent="0.25">
      <c r="A116" s="1"/>
      <c r="B116" s="8" t="s">
        <v>124</v>
      </c>
      <c r="C116" s="8" t="s">
        <v>7</v>
      </c>
      <c r="D116" s="9" t="e">
        <f>VLOOKUP(B116,'Nutrition Plan'!$D$14:$F$24,3,0)</f>
        <v>#N/A</v>
      </c>
      <c r="E116" s="10" t="e">
        <f>D116/(29/25)</f>
        <v>#N/A</v>
      </c>
      <c r="F116" s="11">
        <f>0</f>
        <v>0</v>
      </c>
      <c r="G116" s="10" t="e">
        <f>D116/(29/1)</f>
        <v>#N/A</v>
      </c>
      <c r="H116" s="12" t="e">
        <f t="shared" si="35"/>
        <v>#N/A</v>
      </c>
      <c r="I116" s="1"/>
    </row>
    <row r="117" spans="1:9" ht="15.75" customHeight="1" x14ac:dyDescent="0.25">
      <c r="A117" s="1"/>
      <c r="B117" s="8" t="s">
        <v>125</v>
      </c>
      <c r="C117" s="8" t="s">
        <v>7</v>
      </c>
      <c r="D117" s="9" t="e">
        <f>VLOOKUP(B117,'Nutrition Plan'!$D$14:$F$24,3,0)</f>
        <v>#N/A</v>
      </c>
      <c r="E117" s="10" t="e">
        <f>D117/(31/25)</f>
        <v>#N/A</v>
      </c>
      <c r="F117" s="11" t="e">
        <f>D117/(31/0.5)</f>
        <v>#N/A</v>
      </c>
      <c r="G117" s="10" t="e">
        <f>D117/(31/2)</f>
        <v>#N/A</v>
      </c>
      <c r="H117" s="12" t="e">
        <f t="shared" si="35"/>
        <v>#N/A</v>
      </c>
      <c r="I117" s="1"/>
    </row>
    <row r="118" spans="1:9" ht="15.75" customHeight="1" x14ac:dyDescent="0.25">
      <c r="A118" s="1"/>
      <c r="B118" s="8" t="s">
        <v>126</v>
      </c>
      <c r="C118" s="8" t="s">
        <v>7</v>
      </c>
      <c r="D118" s="9" t="e">
        <f>VLOOKUP(B118,'Nutrition Plan'!$D$14:$F$24,3,0)</f>
        <v>#N/A</v>
      </c>
      <c r="E118" s="10" t="e">
        <f>D118/(30.1/25)</f>
        <v>#N/A</v>
      </c>
      <c r="F118" s="11">
        <f t="shared" ref="F118:F119" si="39">0</f>
        <v>0</v>
      </c>
      <c r="G118" s="10" t="e">
        <f>D118/(30.1/1)</f>
        <v>#N/A</v>
      </c>
      <c r="H118" s="12" t="e">
        <f t="shared" si="35"/>
        <v>#N/A</v>
      </c>
      <c r="I118" s="1"/>
    </row>
    <row r="119" spans="1:9" ht="15.75" customHeight="1" x14ac:dyDescent="0.25">
      <c r="A119" s="1"/>
      <c r="B119" s="8" t="s">
        <v>127</v>
      </c>
      <c r="C119" s="8" t="s">
        <v>7</v>
      </c>
      <c r="D119" s="9" t="e">
        <f>VLOOKUP(B119,'Nutrition Plan'!$D$14:$F$24,3,0)</f>
        <v>#N/A</v>
      </c>
      <c r="E119" s="10" t="e">
        <f>D119/(29/25)</f>
        <v>#N/A</v>
      </c>
      <c r="F119" s="11">
        <f t="shared" si="39"/>
        <v>0</v>
      </c>
      <c r="G119" s="10" t="e">
        <f>D119/(29/1)</f>
        <v>#N/A</v>
      </c>
      <c r="H119" s="12" t="e">
        <f t="shared" si="35"/>
        <v>#N/A</v>
      </c>
      <c r="I119" s="1"/>
    </row>
    <row r="120" spans="1:9" ht="15.75" customHeight="1" x14ac:dyDescent="0.25">
      <c r="A120" s="1"/>
      <c r="B120" s="8" t="s">
        <v>128</v>
      </c>
      <c r="C120" s="8" t="s">
        <v>7</v>
      </c>
      <c r="D120" s="9" t="e">
        <f>VLOOKUP(B120,'Nutrition Plan'!$D$14:$F$24,3,0)</f>
        <v>#N/A</v>
      </c>
      <c r="E120" s="10" t="e">
        <f>D120/(39.5/24)</f>
        <v>#N/A</v>
      </c>
      <c r="F120" s="11" t="e">
        <f>D120/(39.5/3.5)</f>
        <v>#N/A</v>
      </c>
      <c r="G120" s="10" t="e">
        <f>D120/(39.5/8)</f>
        <v>#N/A</v>
      </c>
      <c r="H120" s="12" t="e">
        <f t="shared" si="35"/>
        <v>#N/A</v>
      </c>
      <c r="I120" s="1"/>
    </row>
    <row r="121" spans="1:9" ht="15.75" customHeight="1" x14ac:dyDescent="0.25">
      <c r="A121" s="1"/>
      <c r="B121" s="8" t="s">
        <v>129</v>
      </c>
      <c r="C121" s="8" t="s">
        <v>7</v>
      </c>
      <c r="D121" s="9" t="e">
        <f>VLOOKUP(B121,'Nutrition Plan'!$D$14:$F$24,3,0)</f>
        <v>#N/A</v>
      </c>
      <c r="E121" s="10" t="e">
        <f>D121/(36.5/24)</f>
        <v>#N/A</v>
      </c>
      <c r="F121" s="11" t="e">
        <f>D121/(36.5/3.5)</f>
        <v>#N/A</v>
      </c>
      <c r="G121" s="10" t="e">
        <f>D121/(36.5/5)</f>
        <v>#N/A</v>
      </c>
      <c r="H121" s="12" t="e">
        <f t="shared" si="35"/>
        <v>#N/A</v>
      </c>
      <c r="I121" s="1"/>
    </row>
    <row r="122" spans="1:9" ht="15.75" customHeight="1" x14ac:dyDescent="0.25">
      <c r="A122" s="1"/>
      <c r="B122" s="8" t="s">
        <v>130</v>
      </c>
      <c r="C122" s="8" t="s">
        <v>7</v>
      </c>
      <c r="D122" s="9" t="e">
        <f>VLOOKUP(B122,'Nutrition Plan'!$D$14:$F$24,3,0)</f>
        <v>#N/A</v>
      </c>
      <c r="E122" s="10" t="e">
        <f>D122/(37.1/24)</f>
        <v>#N/A</v>
      </c>
      <c r="F122" s="11" t="e">
        <f>D122/(37.1/3.5)</f>
        <v>#N/A</v>
      </c>
      <c r="G122" s="10" t="e">
        <f>D122/(37.1/6)</f>
        <v>#N/A</v>
      </c>
      <c r="H122" s="12" t="e">
        <f t="shared" si="35"/>
        <v>#N/A</v>
      </c>
      <c r="I122" s="1"/>
    </row>
    <row r="123" spans="1:9" ht="15.75" customHeight="1" x14ac:dyDescent="0.25">
      <c r="A123" s="1"/>
      <c r="B123" s="8" t="s">
        <v>131</v>
      </c>
      <c r="C123" s="8" t="s">
        <v>7</v>
      </c>
      <c r="D123" s="9" t="e">
        <f>VLOOKUP(B123,'Nutrition Plan'!$D$14:$F$24,3,0)</f>
        <v>#N/A</v>
      </c>
      <c r="E123" s="10" t="e">
        <f>D123/(36.3/24)</f>
        <v>#N/A</v>
      </c>
      <c r="F123" s="11" t="e">
        <f>D123/(36.3/3.5)</f>
        <v>#N/A</v>
      </c>
      <c r="G123" s="10" t="e">
        <f>D123/(36.3/5)</f>
        <v>#N/A</v>
      </c>
      <c r="H123" s="12" t="e">
        <f t="shared" si="35"/>
        <v>#N/A</v>
      </c>
      <c r="I123" s="1"/>
    </row>
    <row r="124" spans="1:9" ht="15.75" customHeight="1" x14ac:dyDescent="0.25">
      <c r="A124" s="1"/>
      <c r="B124" s="8" t="s">
        <v>132</v>
      </c>
      <c r="C124" s="8" t="s">
        <v>7</v>
      </c>
      <c r="D124" s="9" t="e">
        <f>VLOOKUP(B124,'Nutrition Plan'!$D$14:$F$24,3,0)</f>
        <v>#N/A</v>
      </c>
      <c r="E124" s="10" t="e">
        <f>D124/(23/20)</f>
        <v>#N/A</v>
      </c>
      <c r="F124" s="11" t="e">
        <f>D124/(23/0.56)</f>
        <v>#N/A</v>
      </c>
      <c r="G124" s="10">
        <f>0</f>
        <v>0</v>
      </c>
      <c r="H124" s="12" t="e">
        <f t="shared" si="35"/>
        <v>#N/A</v>
      </c>
      <c r="I124" s="1"/>
    </row>
    <row r="125" spans="1:9" ht="15.75" customHeight="1" x14ac:dyDescent="0.25">
      <c r="A125" s="1"/>
      <c r="B125" s="8" t="s">
        <v>133</v>
      </c>
      <c r="C125" s="8" t="s">
        <v>134</v>
      </c>
      <c r="D125" s="9" t="e">
        <f>VLOOKUP(B125,'Nutrition Plan'!$D$14:$F$24,3,0)</f>
        <v>#N/A</v>
      </c>
      <c r="E125" s="10" t="e">
        <f>D125/(1/23)</f>
        <v>#N/A</v>
      </c>
      <c r="F125" s="11" t="e">
        <f>D125/(1/8)</f>
        <v>#N/A</v>
      </c>
      <c r="G125" s="10" t="e">
        <f>D125/(1/21)</f>
        <v>#N/A</v>
      </c>
      <c r="H125" s="12" t="e">
        <f t="shared" si="35"/>
        <v>#N/A</v>
      </c>
      <c r="I125" s="1"/>
    </row>
    <row r="126" spans="1:9" ht="15.75" customHeight="1" x14ac:dyDescent="0.25">
      <c r="A126" s="1"/>
      <c r="B126" s="8" t="s">
        <v>135</v>
      </c>
      <c r="C126" s="8" t="s">
        <v>134</v>
      </c>
      <c r="D126" s="9" t="e">
        <f>VLOOKUP(B126,'Nutrition Plan'!$D$14:$F$24,3,0)</f>
        <v>#N/A</v>
      </c>
      <c r="E126" s="10" t="e">
        <f>D126/(1/13)</f>
        <v>#N/A</v>
      </c>
      <c r="F126" s="11" t="e">
        <f>D126/(1/12)</f>
        <v>#N/A</v>
      </c>
      <c r="G126" s="10" t="e">
        <f>D126/(1/10)</f>
        <v>#N/A</v>
      </c>
      <c r="H126" s="12" t="e">
        <f t="shared" si="35"/>
        <v>#N/A</v>
      </c>
      <c r="I126" s="1"/>
    </row>
    <row r="127" spans="1:9" ht="15.75" customHeight="1" x14ac:dyDescent="0.25">
      <c r="A127" s="1"/>
      <c r="B127" s="8" t="s">
        <v>136</v>
      </c>
      <c r="C127" s="8" t="s">
        <v>134</v>
      </c>
      <c r="D127" s="9" t="e">
        <f>VLOOKUP(B127,'Nutrition Plan'!$D$14:$F$24,3,0)</f>
        <v>#N/A</v>
      </c>
      <c r="E127" s="10" t="e">
        <f t="shared" ref="E127:E128" si="40">D127/(1/21)</f>
        <v>#N/A</v>
      </c>
      <c r="F127" s="11" t="e">
        <f>D127/(1/8)</f>
        <v>#N/A</v>
      </c>
      <c r="G127" s="10" t="e">
        <f t="shared" ref="G127:G128" si="41">D127/(1/5)</f>
        <v>#N/A</v>
      </c>
      <c r="H127" s="12" t="e">
        <f t="shared" si="35"/>
        <v>#N/A</v>
      </c>
      <c r="I127" s="1"/>
    </row>
    <row r="128" spans="1:9" ht="15.75" customHeight="1" x14ac:dyDescent="0.25">
      <c r="A128" s="1"/>
      <c r="B128" s="8" t="s">
        <v>137</v>
      </c>
      <c r="C128" s="8" t="s">
        <v>134</v>
      </c>
      <c r="D128" s="9" t="e">
        <f>VLOOKUP(B128,'Nutrition Plan'!$D$14:$F$24,3,0)</f>
        <v>#N/A</v>
      </c>
      <c r="E128" s="10" t="e">
        <f t="shared" si="40"/>
        <v>#N/A</v>
      </c>
      <c r="F128" s="11" t="e">
        <f>D128/(1/7)</f>
        <v>#N/A</v>
      </c>
      <c r="G128" s="10" t="e">
        <f t="shared" si="41"/>
        <v>#N/A</v>
      </c>
      <c r="H128" s="12" t="e">
        <f t="shared" si="35"/>
        <v>#N/A</v>
      </c>
      <c r="I128" s="1"/>
    </row>
    <row r="129" spans="1:9" ht="15.75" customHeight="1" x14ac:dyDescent="0.25">
      <c r="A129" s="1"/>
      <c r="B129" s="8" t="s">
        <v>138</v>
      </c>
      <c r="C129" s="8" t="s">
        <v>134</v>
      </c>
      <c r="D129" s="9" t="e">
        <f>VLOOKUP(B129,'Nutrition Plan'!$D$14:$F$24,3,0)</f>
        <v>#N/A</v>
      </c>
      <c r="E129" s="10" t="e">
        <f t="shared" ref="E129:E131" si="42">D129/(1/20)</f>
        <v>#N/A</v>
      </c>
      <c r="F129" s="11" t="e">
        <f>D129/(1/9)</f>
        <v>#N/A</v>
      </c>
      <c r="G129" s="10" t="e">
        <f>D129/(1/4)</f>
        <v>#N/A</v>
      </c>
      <c r="H129" s="12" t="e">
        <f t="shared" si="35"/>
        <v>#N/A</v>
      </c>
      <c r="I129" s="1"/>
    </row>
    <row r="130" spans="1:9" ht="15.75" customHeight="1" x14ac:dyDescent="0.25">
      <c r="A130" s="1"/>
      <c r="B130" s="8" t="s">
        <v>139</v>
      </c>
      <c r="C130" s="8" t="s">
        <v>134</v>
      </c>
      <c r="D130" s="9" t="e">
        <f>VLOOKUP(B130,'Nutrition Plan'!$D$14:$F$24,3,0)</f>
        <v>#N/A</v>
      </c>
      <c r="E130" s="10" t="e">
        <f t="shared" si="42"/>
        <v>#N/A</v>
      </c>
      <c r="F130" s="11" t="e">
        <f t="shared" ref="F130:F131" si="43">D130/(1/8)</f>
        <v>#N/A</v>
      </c>
      <c r="G130" s="10" t="e">
        <f t="shared" ref="G130:G131" si="44">D130/(1/22)</f>
        <v>#N/A</v>
      </c>
      <c r="H130" s="12" t="e">
        <f t="shared" si="35"/>
        <v>#N/A</v>
      </c>
      <c r="I130" s="1"/>
    </row>
    <row r="131" spans="1:9" ht="15.75" customHeight="1" x14ac:dyDescent="0.25">
      <c r="A131" s="1"/>
      <c r="B131" s="8" t="s">
        <v>140</v>
      </c>
      <c r="C131" s="8" t="s">
        <v>134</v>
      </c>
      <c r="D131" s="9" t="e">
        <f>VLOOKUP(B131,'Nutrition Plan'!$D$14:$F$24,3,0)</f>
        <v>#N/A</v>
      </c>
      <c r="E131" s="10" t="e">
        <f t="shared" si="42"/>
        <v>#N/A</v>
      </c>
      <c r="F131" s="11" t="e">
        <f t="shared" si="43"/>
        <v>#N/A</v>
      </c>
      <c r="G131" s="10" t="e">
        <f t="shared" si="44"/>
        <v>#N/A</v>
      </c>
      <c r="H131" s="12" t="e">
        <f t="shared" si="35"/>
        <v>#N/A</v>
      </c>
      <c r="I131" s="1"/>
    </row>
    <row r="132" spans="1:9" ht="15.75" customHeight="1" x14ac:dyDescent="0.3">
      <c r="A132" s="1"/>
      <c r="B132" s="173" t="s">
        <v>37</v>
      </c>
      <c r="C132" s="174"/>
      <c r="D132" s="174"/>
      <c r="E132" s="174"/>
      <c r="F132" s="174"/>
      <c r="G132" s="174"/>
      <c r="H132" s="134"/>
      <c r="I132" s="1"/>
    </row>
    <row r="133" spans="1:9" ht="15.75" customHeight="1" x14ac:dyDescent="0.25">
      <c r="A133" s="1"/>
      <c r="B133" s="8" t="s">
        <v>141</v>
      </c>
      <c r="C133" s="8" t="s">
        <v>7</v>
      </c>
      <c r="D133" s="9" t="e">
        <f>VLOOKUP(B133,'Nutrition Plan'!$D$14:$F$24,3,0)</f>
        <v>#N/A</v>
      </c>
      <c r="E133" s="10" t="e">
        <f>D133/(100/0.2)</f>
        <v>#N/A</v>
      </c>
      <c r="F133" s="11" t="e">
        <f>D133/(100/0.18)</f>
        <v>#N/A</v>
      </c>
      <c r="G133" s="10" t="e">
        <f>D133/(100/15.22)</f>
        <v>#N/A</v>
      </c>
      <c r="H133" s="12" t="e">
        <f t="shared" ref="H133:H159" si="45">(E133*4)+(F133*9)+(G133*4)</f>
        <v>#N/A</v>
      </c>
      <c r="I133" s="1"/>
    </row>
    <row r="134" spans="1:9" ht="15.75" customHeight="1" x14ac:dyDescent="0.25">
      <c r="A134" s="1"/>
      <c r="B134" s="8" t="s">
        <v>142</v>
      </c>
      <c r="C134" s="8" t="s">
        <v>7</v>
      </c>
      <c r="D134" s="9" t="e">
        <f>VLOOKUP(B134,'Nutrition Plan'!$D$14:$F$24,3,0)</f>
        <v>#N/A</v>
      </c>
      <c r="E134" s="10" t="e">
        <f>D134/(100/0.25)</f>
        <v>#N/A</v>
      </c>
      <c r="F134" s="11" t="e">
        <f>D134/(100/0.12)</f>
        <v>#N/A</v>
      </c>
      <c r="G134" s="10" t="e">
        <f>D134/(100/13.68)</f>
        <v>#N/A</v>
      </c>
      <c r="H134" s="12" t="e">
        <f t="shared" si="45"/>
        <v>#N/A</v>
      </c>
      <c r="I134" s="1"/>
    </row>
    <row r="135" spans="1:9" ht="15.75" customHeight="1" x14ac:dyDescent="0.25">
      <c r="A135" s="1"/>
      <c r="B135" s="8" t="s">
        <v>143</v>
      </c>
      <c r="C135" s="8" t="s">
        <v>7</v>
      </c>
      <c r="D135" s="9" t="e">
        <f>VLOOKUP(B135,'Nutrition Plan'!$D$14:$F$24,3,0)</f>
        <v>#N/A</v>
      </c>
      <c r="E135" s="10" t="e">
        <f>D135/(100/0.44)</f>
        <v>#N/A</v>
      </c>
      <c r="F135" s="11" t="e">
        <f>D135/(100/0.19)</f>
        <v>#N/A</v>
      </c>
      <c r="G135" s="10" t="e">
        <f>D135/(100/13.61)</f>
        <v>#N/A</v>
      </c>
      <c r="H135" s="12" t="e">
        <f t="shared" si="45"/>
        <v>#N/A</v>
      </c>
      <c r="I135" s="1"/>
    </row>
    <row r="136" spans="1:9" ht="15.75" customHeight="1" x14ac:dyDescent="0.25">
      <c r="A136" s="1"/>
      <c r="B136" s="8" t="s">
        <v>144</v>
      </c>
      <c r="C136" s="8" t="s">
        <v>7</v>
      </c>
      <c r="D136" s="9" t="e">
        <f>VLOOKUP(B136,'Nutrition Plan'!$D$14:$F$24,3,0)</f>
        <v>#N/A</v>
      </c>
      <c r="E136" s="10">
        <v>0</v>
      </c>
      <c r="F136" s="11">
        <v>0</v>
      </c>
      <c r="G136" s="10" t="e">
        <f>D136/(122/13)</f>
        <v>#N/A</v>
      </c>
      <c r="H136" s="12" t="e">
        <f t="shared" si="45"/>
        <v>#N/A</v>
      </c>
      <c r="I136" s="1"/>
    </row>
    <row r="137" spans="1:9" ht="15.75" customHeight="1" x14ac:dyDescent="0.25">
      <c r="A137" s="1"/>
      <c r="B137" s="8" t="s">
        <v>145</v>
      </c>
      <c r="C137" s="8" t="s">
        <v>7</v>
      </c>
      <c r="D137" s="9" t="e">
        <f>VLOOKUP(B137,'Nutrition Plan'!$D$14:$F$24,3,0)</f>
        <v>#N/A</v>
      </c>
      <c r="E137" s="10" t="e">
        <f>D137/(100/2)</f>
        <v>#N/A</v>
      </c>
      <c r="F137" s="11" t="e">
        <f>D137/(100/14.66)</f>
        <v>#N/A</v>
      </c>
      <c r="G137" s="10" t="e">
        <f>D137/(100/8.53)</f>
        <v>#N/A</v>
      </c>
      <c r="H137" s="12" t="e">
        <f t="shared" si="45"/>
        <v>#N/A</v>
      </c>
      <c r="I137" s="1"/>
    </row>
    <row r="138" spans="1:9" ht="15.75" customHeight="1" x14ac:dyDescent="0.25">
      <c r="A138" s="1"/>
      <c r="B138" s="8" t="s">
        <v>146</v>
      </c>
      <c r="C138" s="8" t="s">
        <v>7</v>
      </c>
      <c r="D138" s="9" t="e">
        <f>VLOOKUP(B138,'Nutrition Plan'!$D$14:$F$24,3,0)</f>
        <v>#N/A</v>
      </c>
      <c r="E138" s="10" t="e">
        <f>D138/(100/1.1)</f>
        <v>#N/A</v>
      </c>
      <c r="F138" s="11" t="e">
        <f t="shared" ref="F138:F139" si="46">D138/(100/0.33)</f>
        <v>#N/A</v>
      </c>
      <c r="G138" s="10" t="e">
        <f>D138/(100/22.84)</f>
        <v>#N/A</v>
      </c>
      <c r="H138" s="12" t="e">
        <f t="shared" si="45"/>
        <v>#N/A</v>
      </c>
      <c r="I138" s="1"/>
    </row>
    <row r="139" spans="1:9" ht="15.75" customHeight="1" x14ac:dyDescent="0.25">
      <c r="A139" s="1"/>
      <c r="B139" s="8" t="s">
        <v>147</v>
      </c>
      <c r="C139" s="8" t="s">
        <v>7</v>
      </c>
      <c r="D139" s="9" t="e">
        <f>VLOOKUP(B139,'Nutrition Plan'!$D$14:$F$24,3,0)</f>
        <v>#N/A</v>
      </c>
      <c r="E139" s="10" t="e">
        <f>D139/(100/0.74)</f>
        <v>#N/A</v>
      </c>
      <c r="F139" s="11" t="e">
        <f t="shared" si="46"/>
        <v>#N/A</v>
      </c>
      <c r="G139" s="10" t="e">
        <f>D139/(100/14.49)</f>
        <v>#N/A</v>
      </c>
      <c r="H139" s="12" t="e">
        <f t="shared" si="45"/>
        <v>#N/A</v>
      </c>
      <c r="I139" s="1"/>
    </row>
    <row r="140" spans="1:9" ht="15.75" customHeight="1" x14ac:dyDescent="0.25">
      <c r="A140" s="1"/>
      <c r="B140" s="8" t="s">
        <v>148</v>
      </c>
      <c r="C140" s="8" t="s">
        <v>7</v>
      </c>
      <c r="D140" s="9" t="e">
        <f>VLOOKUP(B140,'Nutrition Plan'!$D$14:$F$24,3,0)</f>
        <v>#N/A</v>
      </c>
      <c r="E140" s="10" t="e">
        <f>D140/(28/0.18)</f>
        <v>#N/A</v>
      </c>
      <c r="F140" s="11" t="e">
        <f>D140/(28/0.03)</f>
        <v>#N/A</v>
      </c>
      <c r="G140" s="10" t="e">
        <f>D140/(28/2.26)</f>
        <v>#N/A</v>
      </c>
      <c r="H140" s="12" t="e">
        <f t="shared" si="45"/>
        <v>#N/A</v>
      </c>
      <c r="I140" s="1"/>
    </row>
    <row r="141" spans="1:9" ht="15.75" customHeight="1" x14ac:dyDescent="0.25">
      <c r="A141" s="1"/>
      <c r="B141" s="8" t="s">
        <v>149</v>
      </c>
      <c r="C141" s="8" t="s">
        <v>7</v>
      </c>
      <c r="D141" s="9" t="e">
        <f>VLOOKUP(B141,'Nutrition Plan'!$D$14:$F$24,3,0)</f>
        <v>#N/A</v>
      </c>
      <c r="E141" s="10" t="e">
        <f>D141/(100/0.72)</f>
        <v>#N/A</v>
      </c>
      <c r="F141" s="11" t="e">
        <f>D141/(100/0.16)</f>
        <v>#N/A</v>
      </c>
      <c r="G141" s="10" t="e">
        <f>D141/(100/18.1)</f>
        <v>#N/A</v>
      </c>
      <c r="H141" s="12" t="e">
        <f t="shared" si="45"/>
        <v>#N/A</v>
      </c>
      <c r="I141" s="1"/>
    </row>
    <row r="142" spans="1:9" ht="15.75" customHeight="1" x14ac:dyDescent="0.25">
      <c r="A142" s="1"/>
      <c r="B142" s="8" t="s">
        <v>150</v>
      </c>
      <c r="C142" s="8" t="s">
        <v>7</v>
      </c>
      <c r="D142" s="9" t="e">
        <f>VLOOKUP(B142,'Nutrition Plan'!$D$14:$F$24,3,0)</f>
        <v>#N/A</v>
      </c>
      <c r="E142" s="10" t="e">
        <f>D142/(28/0.32)</f>
        <v>#N/A</v>
      </c>
      <c r="F142" s="11" t="e">
        <f>D142/(28/0.15)</f>
        <v>#N/A</v>
      </c>
      <c r="G142" s="10" t="e">
        <f>D142/(28/4.1)</f>
        <v>#N/A</v>
      </c>
      <c r="H142" s="12" t="e">
        <f t="shared" si="45"/>
        <v>#N/A</v>
      </c>
      <c r="I142" s="1"/>
    </row>
    <row r="143" spans="1:9" ht="15.75" customHeight="1" x14ac:dyDescent="0.25">
      <c r="A143" s="1"/>
      <c r="B143" s="8" t="s">
        <v>151</v>
      </c>
      <c r="C143" s="8" t="s">
        <v>7</v>
      </c>
      <c r="D143" s="9" t="e">
        <f>VLOOKUP(B143,'Nutrition Plan'!$D$14:$F$24,3,0)</f>
        <v>#N/A</v>
      </c>
      <c r="E143" s="10" t="e">
        <f>D143/(28/0.23)</f>
        <v>#N/A</v>
      </c>
      <c r="F143" s="11" t="e">
        <f>D143/(28/0.11)</f>
        <v>#N/A</v>
      </c>
      <c r="G143" s="10" t="e">
        <f>D143/(28/4.2)</f>
        <v>#N/A</v>
      </c>
      <c r="H143" s="12" t="e">
        <f t="shared" si="45"/>
        <v>#N/A</v>
      </c>
      <c r="I143" s="1"/>
    </row>
    <row r="144" spans="1:9" ht="15.75" customHeight="1" x14ac:dyDescent="0.25">
      <c r="A144" s="1"/>
      <c r="B144" s="8" t="s">
        <v>152</v>
      </c>
      <c r="C144" s="8" t="s">
        <v>7</v>
      </c>
      <c r="D144" s="9" t="e">
        <f>VLOOKUP(B144,'Nutrition Plan'!$D$14:$F$24,3,0)</f>
        <v>#N/A</v>
      </c>
      <c r="E144" s="10" t="e">
        <f>D144/(28/0.3)</f>
        <v>#N/A</v>
      </c>
      <c r="F144" s="11" t="e">
        <f>D144/(28/0.09)</f>
        <v>#N/A</v>
      </c>
      <c r="G144" s="10" t="e">
        <f>D144/(28/3)</f>
        <v>#N/A</v>
      </c>
      <c r="H144" s="12" t="e">
        <f t="shared" si="45"/>
        <v>#N/A</v>
      </c>
      <c r="I144" s="1"/>
    </row>
    <row r="145" spans="1:9" ht="15.75" customHeight="1" x14ac:dyDescent="0.25">
      <c r="A145" s="1"/>
      <c r="B145" s="8" t="s">
        <v>153</v>
      </c>
      <c r="C145" s="8" t="s">
        <v>7</v>
      </c>
      <c r="D145" s="9" t="e">
        <f>VLOOKUP(B145,'Nutrition Plan'!$D$14:$F$24,3,0)</f>
        <v>#N/A</v>
      </c>
      <c r="E145" s="10" t="e">
        <f>D145/(28/0.26)</f>
        <v>#N/A</v>
      </c>
      <c r="F145" s="11" t="e">
        <f>D145/(28/0.03)</f>
        <v>#N/A</v>
      </c>
      <c r="G145" s="10" t="e">
        <f>D145/(28/3.3)</f>
        <v>#N/A</v>
      </c>
      <c r="H145" s="12" t="e">
        <f t="shared" si="45"/>
        <v>#N/A</v>
      </c>
      <c r="I145" s="1"/>
    </row>
    <row r="146" spans="1:9" ht="15.75" customHeight="1" x14ac:dyDescent="0.25">
      <c r="A146" s="1"/>
      <c r="B146" s="8" t="s">
        <v>154</v>
      </c>
      <c r="C146" s="8" t="s">
        <v>7</v>
      </c>
      <c r="D146" s="9" t="e">
        <f>VLOOKUP(B146,'Nutrition Plan'!$D$14:$F$24,3,0)</f>
        <v>#N/A</v>
      </c>
      <c r="E146" s="10" t="e">
        <f>D146/(28/0.25)</f>
        <v>#N/A</v>
      </c>
      <c r="F146" s="11" t="e">
        <f>D146/(28/0.07)</f>
        <v>#N/A</v>
      </c>
      <c r="G146" s="10" t="e">
        <f>D146/(28/2.67)</f>
        <v>#N/A</v>
      </c>
      <c r="H146" s="12" t="e">
        <f t="shared" si="45"/>
        <v>#N/A</v>
      </c>
      <c r="I146" s="1"/>
    </row>
    <row r="147" spans="1:9" ht="15.75" customHeight="1" x14ac:dyDescent="0.25">
      <c r="A147" s="1"/>
      <c r="B147" s="8" t="s">
        <v>155</v>
      </c>
      <c r="C147" s="8" t="s">
        <v>7</v>
      </c>
      <c r="D147" s="9" t="e">
        <f>VLOOKUP(B147,'Nutrition Plan'!$D$14:$F$24,3,0)</f>
        <v>#N/A</v>
      </c>
      <c r="E147" s="10" t="e">
        <f>D147/(28/0.15)</f>
        <v>#N/A</v>
      </c>
      <c r="F147" s="11" t="e">
        <f>D147/(28/0.03)</f>
        <v>#N/A</v>
      </c>
      <c r="G147" s="10" t="e">
        <f>D147/(28/3.67)</f>
        <v>#N/A</v>
      </c>
      <c r="H147" s="12" t="e">
        <f t="shared" si="45"/>
        <v>#N/A</v>
      </c>
      <c r="I147" s="1"/>
    </row>
    <row r="148" spans="1:9" ht="15.75" customHeight="1" x14ac:dyDescent="0.25">
      <c r="A148" s="1"/>
      <c r="B148" s="8" t="s">
        <v>156</v>
      </c>
      <c r="C148" s="8" t="s">
        <v>7</v>
      </c>
      <c r="D148" s="9" t="e">
        <f>VLOOKUP(B148,'Nutrition Plan'!$D$14:$F$24,3,0)</f>
        <v>#N/A</v>
      </c>
      <c r="E148" s="10" t="e">
        <f>D148/(28/0.2)</f>
        <v>#N/A</v>
      </c>
      <c r="F148" s="11" t="e">
        <f>D148/(28/0.08)</f>
        <v>#N/A</v>
      </c>
      <c r="G148" s="10" t="e">
        <f>D148/(28/3.2)</f>
        <v>#N/A</v>
      </c>
      <c r="H148" s="12" t="e">
        <f t="shared" si="45"/>
        <v>#N/A</v>
      </c>
      <c r="I148" s="1"/>
    </row>
    <row r="149" spans="1:9" ht="15.75" customHeight="1" x14ac:dyDescent="0.25">
      <c r="A149" s="1"/>
      <c r="B149" s="8" t="s">
        <v>157</v>
      </c>
      <c r="C149" s="8" t="s">
        <v>7</v>
      </c>
      <c r="D149" s="9" t="e">
        <f>VLOOKUP(B149,'Nutrition Plan'!$D$14:$F$24,3,0)</f>
        <v>#N/A</v>
      </c>
      <c r="E149" s="10" t="e">
        <f>D149/(100/1.2)</f>
        <v>#N/A</v>
      </c>
      <c r="F149" s="11" t="e">
        <f>D149/(100/0.65)</f>
        <v>#N/A</v>
      </c>
      <c r="G149" s="10" t="e">
        <f>D149/(100/11.4)</f>
        <v>#N/A</v>
      </c>
      <c r="H149" s="12" t="e">
        <f t="shared" si="45"/>
        <v>#N/A</v>
      </c>
      <c r="I149" s="1"/>
    </row>
    <row r="150" spans="1:9" ht="15.75" customHeight="1" x14ac:dyDescent="0.25">
      <c r="A150" s="1"/>
      <c r="B150" s="8" t="s">
        <v>158</v>
      </c>
      <c r="C150" s="8" t="s">
        <v>7</v>
      </c>
      <c r="D150" s="9" t="e">
        <f>VLOOKUP(B150,'Nutrition Plan'!$D$14:$F$24,3,0)</f>
        <v>#N/A</v>
      </c>
      <c r="E150" s="10" t="e">
        <f>D150/(28/0.19)</f>
        <v>#N/A</v>
      </c>
      <c r="F150" s="11" t="e">
        <f>D150/(28/0.08)</f>
        <v>#N/A</v>
      </c>
      <c r="G150" s="10" t="e">
        <f>D150/(28/2.15)</f>
        <v>#N/A</v>
      </c>
      <c r="H150" s="12" t="e">
        <f t="shared" si="45"/>
        <v>#N/A</v>
      </c>
      <c r="I150" s="1"/>
    </row>
    <row r="151" spans="1:9" ht="15.75" customHeight="1" x14ac:dyDescent="0.25">
      <c r="A151" s="1"/>
      <c r="B151" s="8" t="s">
        <v>159</v>
      </c>
      <c r="C151" s="8" t="s">
        <v>7</v>
      </c>
      <c r="D151" s="9" t="e">
        <f>VLOOKUP(B151,'Nutrition Plan'!$D$14:$F$24,3,0)</f>
        <v>#N/A</v>
      </c>
      <c r="E151" s="10" t="e">
        <f>D151/(100/0.61)</f>
        <v>#N/A</v>
      </c>
      <c r="F151" s="11" t="e">
        <f>D151/(100/0.15)</f>
        <v>#N/A</v>
      </c>
      <c r="G151" s="10" t="e">
        <f>D151/(100/7.55)</f>
        <v>#N/A</v>
      </c>
      <c r="H151" s="12" t="e">
        <f t="shared" si="45"/>
        <v>#N/A</v>
      </c>
      <c r="I151" s="1"/>
    </row>
    <row r="152" spans="1:9" ht="15.75" customHeight="1" x14ac:dyDescent="0.25">
      <c r="A152" s="1"/>
      <c r="B152" s="8" t="s">
        <v>160</v>
      </c>
      <c r="C152" s="8" t="s">
        <v>7</v>
      </c>
      <c r="D152" s="9" t="e">
        <f>VLOOKUP(B152,'Nutrition Plan'!$D$14:$F$24,3,0)</f>
        <v>#N/A</v>
      </c>
      <c r="E152" s="10" t="e">
        <f>D152/(28/4)</f>
        <v>#N/A</v>
      </c>
      <c r="F152" s="11" t="e">
        <f>D152/(28/2.2)</f>
        <v>#N/A</v>
      </c>
      <c r="G152" s="10" t="e">
        <f>D152/(28/1)</f>
        <v>#N/A</v>
      </c>
      <c r="H152" s="12" t="e">
        <f t="shared" si="45"/>
        <v>#N/A</v>
      </c>
      <c r="I152" s="1"/>
    </row>
    <row r="153" spans="1:9" ht="15.75" customHeight="1" x14ac:dyDescent="0.25">
      <c r="A153" s="1"/>
      <c r="B153" s="8" t="s">
        <v>161</v>
      </c>
      <c r="C153" s="8" t="s">
        <v>7</v>
      </c>
      <c r="D153" s="9" t="e">
        <f>VLOOKUP(B153,'Nutrition Plan'!$D$14:$F$24,3,0)</f>
        <v>#N/A</v>
      </c>
      <c r="E153" s="10" t="e">
        <f>D153/(28/0.67)</f>
        <v>#N/A</v>
      </c>
      <c r="F153" s="11" t="e">
        <f>D153/(28/0.06)</f>
        <v>#N/A</v>
      </c>
      <c r="G153" s="10" t="e">
        <f>D153/(28/1.15)</f>
        <v>#N/A</v>
      </c>
      <c r="H153" s="12" t="e">
        <f t="shared" si="45"/>
        <v>#N/A</v>
      </c>
      <c r="I153" s="1"/>
    </row>
    <row r="154" spans="1:9" ht="15.75" customHeight="1" x14ac:dyDescent="0.25">
      <c r="A154" s="1"/>
      <c r="B154" s="8" t="s">
        <v>162</v>
      </c>
      <c r="C154" s="8" t="s">
        <v>7</v>
      </c>
      <c r="D154" s="9" t="e">
        <f>VLOOKUP(B154,'Nutrition Plan'!$D$14:$F$24,3,0)</f>
        <v>#N/A</v>
      </c>
      <c r="E154" s="10" t="e">
        <f>D154/(28/0.87)</f>
        <v>#N/A</v>
      </c>
      <c r="F154" s="11" t="e">
        <f t="shared" ref="F154:F155" si="47">D154/(28/0.03)</f>
        <v>#N/A</v>
      </c>
      <c r="G154" s="10" t="e">
        <f>D154/(28/1.5)</f>
        <v>#N/A</v>
      </c>
      <c r="H154" s="12" t="e">
        <f t="shared" si="45"/>
        <v>#N/A</v>
      </c>
      <c r="I154" s="1"/>
    </row>
    <row r="155" spans="1:9" ht="15.75" customHeight="1" x14ac:dyDescent="0.25">
      <c r="A155" s="1"/>
      <c r="B155" s="8" t="s">
        <v>163</v>
      </c>
      <c r="C155" s="8" t="s">
        <v>7</v>
      </c>
      <c r="D155" s="9" t="e">
        <f>VLOOKUP(B155,'Nutrition Plan'!$D$14:$F$24,3,0)</f>
        <v>#N/A</v>
      </c>
      <c r="E155" s="10" t="e">
        <f>D155/(28/0.36)</f>
        <v>#N/A</v>
      </c>
      <c r="F155" s="11" t="e">
        <f t="shared" si="47"/>
        <v>#N/A</v>
      </c>
      <c r="G155" s="10" t="e">
        <f>D155/(28/1.62)</f>
        <v>#N/A</v>
      </c>
      <c r="H155" s="12" t="e">
        <f t="shared" si="45"/>
        <v>#N/A</v>
      </c>
      <c r="I155" s="1"/>
    </row>
    <row r="156" spans="1:9" ht="15.75" customHeight="1" x14ac:dyDescent="0.25">
      <c r="A156" s="1"/>
      <c r="B156" s="8" t="s">
        <v>164</v>
      </c>
      <c r="C156" s="8" t="s">
        <v>7</v>
      </c>
      <c r="D156" s="9" t="e">
        <f>VLOOKUP(B156,'Nutrition Plan'!$D$14:$F$24,3,0)</f>
        <v>#N/A</v>
      </c>
      <c r="E156" s="10" t="e">
        <f>D156/(28/0.54)</f>
        <v>#N/A</v>
      </c>
      <c r="F156" s="11" t="e">
        <f t="shared" ref="F156:F157" si="48">D156/(28/0.08)</f>
        <v>#N/A</v>
      </c>
      <c r="G156" s="10" t="e">
        <f>D156/(28/1.4)</f>
        <v>#N/A</v>
      </c>
      <c r="H156" s="12" t="e">
        <f t="shared" si="45"/>
        <v>#N/A</v>
      </c>
      <c r="I156" s="1"/>
    </row>
    <row r="157" spans="1:9" ht="15.75" customHeight="1" x14ac:dyDescent="0.25">
      <c r="A157" s="1"/>
      <c r="B157" s="8" t="s">
        <v>165</v>
      </c>
      <c r="C157" s="8" t="s">
        <v>7</v>
      </c>
      <c r="D157" s="9" t="e">
        <f>VLOOKUP(B157,'Nutrition Plan'!$D$14:$F$24,3,0)</f>
        <v>#N/A</v>
      </c>
      <c r="E157" s="10" t="e">
        <f>D157/(28/0.34)</f>
        <v>#N/A</v>
      </c>
      <c r="F157" s="11" t="e">
        <f t="shared" si="48"/>
        <v>#N/A</v>
      </c>
      <c r="G157" s="10" t="e">
        <f>D157/(28/0.92)</f>
        <v>#N/A</v>
      </c>
      <c r="H157" s="12" t="e">
        <f t="shared" si="45"/>
        <v>#N/A</v>
      </c>
      <c r="I157" s="1"/>
    </row>
    <row r="158" spans="1:9" ht="15.75" customHeight="1" x14ac:dyDescent="0.25">
      <c r="A158" s="1"/>
      <c r="B158" s="8" t="s">
        <v>166</v>
      </c>
      <c r="C158" s="8" t="s">
        <v>7</v>
      </c>
      <c r="D158" s="9" t="e">
        <f>VLOOKUP(B158,'Nutrition Plan'!$D$14:$F$24,3,0)</f>
        <v>#N/A</v>
      </c>
      <c r="E158" s="10" t="e">
        <f>D158/(28/1.12)</f>
        <v>#N/A</v>
      </c>
      <c r="F158" s="11" t="e">
        <f>D158/(28/0.24)</f>
        <v>#N/A</v>
      </c>
      <c r="G158" s="10" t="e">
        <f>D158/(28/1.34)</f>
        <v>#N/A</v>
      </c>
      <c r="H158" s="12" t="e">
        <f t="shared" si="45"/>
        <v>#N/A</v>
      </c>
      <c r="I158" s="1"/>
    </row>
    <row r="159" spans="1:9" ht="15.75" customHeight="1" x14ac:dyDescent="0.25">
      <c r="A159" s="1"/>
      <c r="B159" s="8" t="s">
        <v>167</v>
      </c>
      <c r="C159" s="8" t="s">
        <v>7</v>
      </c>
      <c r="D159" s="9" t="e">
        <f>VLOOKUP(B159,'Nutrition Plan'!$D$14:$F$24,3,0)</f>
        <v>#N/A</v>
      </c>
      <c r="E159" s="10" t="e">
        <f>D159/(28/0.34)</f>
        <v>#N/A</v>
      </c>
      <c r="F159" s="11" t="e">
        <f>D159/(28/0.09)</f>
        <v>#N/A</v>
      </c>
      <c r="G159" s="10" t="e">
        <f>D159/(28/0.87)</f>
        <v>#N/A</v>
      </c>
      <c r="H159" s="12" t="e">
        <f t="shared" si="45"/>
        <v>#N/A</v>
      </c>
      <c r="I159" s="1"/>
    </row>
    <row r="160" spans="1:9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</row>
    <row r="161" spans="1:1" ht="15.75" customHeight="1" x14ac:dyDescent="0.25">
      <c r="A161" s="7"/>
    </row>
    <row r="162" spans="1:1" ht="15.75" customHeight="1" x14ac:dyDescent="0.25">
      <c r="A162" s="7"/>
    </row>
    <row r="163" spans="1:1" ht="15.75" customHeight="1" x14ac:dyDescent="0.25">
      <c r="A163" s="7"/>
    </row>
    <row r="164" spans="1:1" ht="15.75" customHeight="1" x14ac:dyDescent="0.25">
      <c r="A164" s="7"/>
    </row>
    <row r="165" spans="1:1" ht="15.75" customHeight="1" x14ac:dyDescent="0.25">
      <c r="A165" s="7"/>
    </row>
    <row r="166" spans="1:1" ht="15.75" customHeight="1" x14ac:dyDescent="0.25">
      <c r="A166" s="7"/>
    </row>
    <row r="167" spans="1:1" ht="15.75" customHeight="1" x14ac:dyDescent="0.25">
      <c r="A167" s="7"/>
    </row>
    <row r="168" spans="1:1" ht="15.75" customHeight="1" x14ac:dyDescent="0.25">
      <c r="A168" s="7"/>
    </row>
    <row r="169" spans="1:1" ht="15.75" customHeight="1" x14ac:dyDescent="0.25">
      <c r="A169" s="7"/>
    </row>
    <row r="170" spans="1:1" ht="15.75" customHeight="1" x14ac:dyDescent="0.25">
      <c r="A170" s="7"/>
    </row>
    <row r="171" spans="1:1" ht="15.75" customHeight="1" x14ac:dyDescent="0.25">
      <c r="A171" s="7"/>
    </row>
    <row r="172" spans="1:1" ht="15.75" customHeight="1" x14ac:dyDescent="0.25">
      <c r="A172" s="7"/>
    </row>
    <row r="173" spans="1:1" ht="15.75" customHeight="1" x14ac:dyDescent="0.25">
      <c r="A173" s="7"/>
    </row>
    <row r="174" spans="1:1" ht="15.75" customHeight="1" x14ac:dyDescent="0.25">
      <c r="A174" s="7"/>
    </row>
    <row r="175" spans="1:1" ht="15.75" customHeight="1" x14ac:dyDescent="0.25">
      <c r="A175" s="7"/>
    </row>
    <row r="176" spans="1:1" ht="15.75" customHeight="1" x14ac:dyDescent="0.25">
      <c r="A176" s="7"/>
    </row>
    <row r="177" spans="1:1" ht="15.75" customHeight="1" x14ac:dyDescent="0.25">
      <c r="A177" s="7"/>
    </row>
    <row r="178" spans="1:1" ht="15.75" customHeight="1" x14ac:dyDescent="0.25">
      <c r="A178" s="7"/>
    </row>
    <row r="179" spans="1:1" ht="15.75" customHeight="1" x14ac:dyDescent="0.25">
      <c r="A179" s="7"/>
    </row>
    <row r="180" spans="1:1" ht="15.75" customHeight="1" x14ac:dyDescent="0.25">
      <c r="A180" s="7"/>
    </row>
    <row r="181" spans="1:1" ht="15.75" customHeight="1" x14ac:dyDescent="0.25">
      <c r="A181" s="7"/>
    </row>
    <row r="182" spans="1:1" ht="15.75" customHeight="1" x14ac:dyDescent="0.25">
      <c r="A182" s="7"/>
    </row>
    <row r="183" spans="1:1" ht="15.75" customHeight="1" x14ac:dyDescent="0.25">
      <c r="A183" s="7"/>
    </row>
    <row r="184" spans="1:1" ht="15.75" customHeight="1" x14ac:dyDescent="0.25">
      <c r="A184" s="7"/>
    </row>
    <row r="185" spans="1:1" ht="15.75" customHeight="1" x14ac:dyDescent="0.25">
      <c r="A185" s="7"/>
    </row>
    <row r="186" spans="1:1" ht="15.75" customHeight="1" x14ac:dyDescent="0.25">
      <c r="A186" s="7"/>
    </row>
    <row r="187" spans="1:1" ht="15.75" customHeight="1" x14ac:dyDescent="0.25">
      <c r="A187" s="7"/>
    </row>
    <row r="188" spans="1:1" ht="15.75" customHeight="1" x14ac:dyDescent="0.25">
      <c r="A188" s="7"/>
    </row>
    <row r="189" spans="1:1" ht="15.75" customHeight="1" x14ac:dyDescent="0.25">
      <c r="A189" s="7"/>
    </row>
    <row r="190" spans="1:1" ht="15.75" customHeight="1" x14ac:dyDescent="0.25">
      <c r="A190" s="7"/>
    </row>
    <row r="191" spans="1:1" ht="15.75" customHeight="1" x14ac:dyDescent="0.25">
      <c r="A191" s="7"/>
    </row>
    <row r="192" spans="1:1" ht="15.75" customHeight="1" x14ac:dyDescent="0.25">
      <c r="A192" s="7"/>
    </row>
    <row r="193" spans="1:1" ht="15.75" customHeight="1" x14ac:dyDescent="0.25">
      <c r="A193" s="7"/>
    </row>
    <row r="194" spans="1:1" ht="15.75" customHeight="1" x14ac:dyDescent="0.25">
      <c r="A194" s="7"/>
    </row>
    <row r="195" spans="1:1" ht="15.75" customHeight="1" x14ac:dyDescent="0.25">
      <c r="A195" s="7"/>
    </row>
    <row r="196" spans="1:1" ht="15.75" customHeight="1" x14ac:dyDescent="0.25">
      <c r="A196" s="7"/>
    </row>
    <row r="197" spans="1:1" ht="15.75" customHeight="1" x14ac:dyDescent="0.25">
      <c r="A197" s="7"/>
    </row>
    <row r="198" spans="1:1" ht="15.75" customHeight="1" x14ac:dyDescent="0.25">
      <c r="A198" s="7"/>
    </row>
    <row r="199" spans="1:1" ht="15.75" customHeight="1" x14ac:dyDescent="0.25">
      <c r="A199" s="7"/>
    </row>
    <row r="200" spans="1:1" ht="15.75" customHeight="1" x14ac:dyDescent="0.25">
      <c r="A200" s="7"/>
    </row>
    <row r="201" spans="1:1" ht="15.75" customHeight="1" x14ac:dyDescent="0.25">
      <c r="A201" s="7"/>
    </row>
    <row r="202" spans="1:1" ht="15.75" customHeight="1" x14ac:dyDescent="0.25">
      <c r="A202" s="7"/>
    </row>
    <row r="203" spans="1:1" ht="15.75" customHeight="1" x14ac:dyDescent="0.25">
      <c r="A203" s="7"/>
    </row>
    <row r="204" spans="1:1" ht="15.75" customHeight="1" x14ac:dyDescent="0.25">
      <c r="A204" s="7"/>
    </row>
    <row r="205" spans="1:1" ht="15.75" customHeight="1" x14ac:dyDescent="0.25">
      <c r="A205" s="7"/>
    </row>
    <row r="206" spans="1:1" ht="15.75" customHeight="1" x14ac:dyDescent="0.25">
      <c r="A206" s="7"/>
    </row>
    <row r="207" spans="1:1" ht="15.75" customHeight="1" x14ac:dyDescent="0.25">
      <c r="A207" s="7"/>
    </row>
    <row r="208" spans="1:1" ht="15.75" customHeight="1" x14ac:dyDescent="0.25">
      <c r="A208" s="7"/>
    </row>
    <row r="209" spans="1:1" ht="15.75" customHeight="1" x14ac:dyDescent="0.25">
      <c r="A209" s="7"/>
    </row>
    <row r="210" spans="1:1" ht="15.75" customHeight="1" x14ac:dyDescent="0.25">
      <c r="A210" s="7"/>
    </row>
    <row r="211" spans="1:1" ht="15.75" customHeight="1" x14ac:dyDescent="0.25">
      <c r="A211" s="7"/>
    </row>
    <row r="212" spans="1:1" ht="15.75" customHeight="1" x14ac:dyDescent="0.25">
      <c r="A212" s="7"/>
    </row>
    <row r="213" spans="1:1" ht="15.75" customHeight="1" x14ac:dyDescent="0.25">
      <c r="A213" s="7"/>
    </row>
    <row r="214" spans="1:1" ht="15.75" customHeight="1" x14ac:dyDescent="0.25">
      <c r="A214" s="7"/>
    </row>
    <row r="215" spans="1:1" ht="15.75" customHeight="1" x14ac:dyDescent="0.25">
      <c r="A215" s="7"/>
    </row>
    <row r="216" spans="1:1" ht="15.75" customHeight="1" x14ac:dyDescent="0.25">
      <c r="A216" s="7"/>
    </row>
    <row r="217" spans="1:1" ht="15.75" customHeight="1" x14ac:dyDescent="0.25">
      <c r="A217" s="7"/>
    </row>
    <row r="218" spans="1:1" ht="15.75" customHeight="1" x14ac:dyDescent="0.25">
      <c r="A218" s="7"/>
    </row>
    <row r="219" spans="1:1" ht="15.75" customHeight="1" x14ac:dyDescent="0.25">
      <c r="A219" s="7"/>
    </row>
    <row r="220" spans="1:1" ht="15.75" customHeight="1" x14ac:dyDescent="0.25">
      <c r="A220" s="7"/>
    </row>
    <row r="221" spans="1:1" ht="15.75" customHeight="1" x14ac:dyDescent="0.25">
      <c r="A221" s="7"/>
    </row>
    <row r="222" spans="1:1" ht="15.75" customHeight="1" x14ac:dyDescent="0.25">
      <c r="A222" s="7"/>
    </row>
    <row r="223" spans="1:1" ht="15.75" customHeight="1" x14ac:dyDescent="0.25">
      <c r="A223" s="7"/>
    </row>
    <row r="224" spans="1:1" ht="15.75" customHeight="1" x14ac:dyDescent="0.25">
      <c r="A224" s="7"/>
    </row>
    <row r="225" spans="1:1" ht="15.75" customHeight="1" x14ac:dyDescent="0.25">
      <c r="A225" s="7"/>
    </row>
    <row r="226" spans="1:1" ht="15.75" customHeight="1" x14ac:dyDescent="0.25">
      <c r="A226" s="7"/>
    </row>
    <row r="227" spans="1:1" ht="15.75" customHeight="1" x14ac:dyDescent="0.25">
      <c r="A227" s="7"/>
    </row>
    <row r="228" spans="1:1" ht="15.75" customHeight="1" x14ac:dyDescent="0.25">
      <c r="A228" s="7"/>
    </row>
    <row r="229" spans="1:1" ht="15.75" customHeight="1" x14ac:dyDescent="0.25">
      <c r="A229" s="7"/>
    </row>
    <row r="230" spans="1:1" ht="15.75" customHeight="1" x14ac:dyDescent="0.25">
      <c r="A230" s="7"/>
    </row>
    <row r="231" spans="1:1" ht="15.75" customHeight="1" x14ac:dyDescent="0.25">
      <c r="A231" s="7"/>
    </row>
    <row r="232" spans="1:1" ht="15.75" customHeight="1" x14ac:dyDescent="0.25">
      <c r="A232" s="7"/>
    </row>
    <row r="233" spans="1:1" ht="15.75" customHeight="1" x14ac:dyDescent="0.25">
      <c r="A233" s="7"/>
    </row>
    <row r="234" spans="1:1" ht="15.75" customHeight="1" x14ac:dyDescent="0.25">
      <c r="A234" s="7"/>
    </row>
    <row r="235" spans="1:1" ht="15.75" customHeight="1" x14ac:dyDescent="0.25">
      <c r="A235" s="7"/>
    </row>
    <row r="236" spans="1:1" ht="15.75" customHeight="1" x14ac:dyDescent="0.25">
      <c r="A236" s="7"/>
    </row>
    <row r="237" spans="1:1" ht="15.75" customHeight="1" x14ac:dyDescent="0.25">
      <c r="A237" s="7"/>
    </row>
    <row r="238" spans="1:1" ht="15.75" customHeight="1" x14ac:dyDescent="0.25">
      <c r="A238" s="7"/>
    </row>
    <row r="239" spans="1:1" ht="15.75" customHeight="1" x14ac:dyDescent="0.25">
      <c r="A239" s="7"/>
    </row>
    <row r="240" spans="1:1" ht="15.75" customHeight="1" x14ac:dyDescent="0.25">
      <c r="A240" s="7"/>
    </row>
    <row r="241" spans="1:1" ht="15.75" customHeight="1" x14ac:dyDescent="0.25">
      <c r="A241" s="7"/>
    </row>
    <row r="242" spans="1:1" ht="15.75" customHeight="1" x14ac:dyDescent="0.25">
      <c r="A242" s="7"/>
    </row>
    <row r="243" spans="1:1" ht="15.75" customHeight="1" x14ac:dyDescent="0.25">
      <c r="A243" s="7"/>
    </row>
    <row r="244" spans="1:1" ht="15.75" customHeight="1" x14ac:dyDescent="0.25">
      <c r="A244" s="7"/>
    </row>
    <row r="245" spans="1:1" ht="15.75" customHeight="1" x14ac:dyDescent="0.25">
      <c r="A245" s="7"/>
    </row>
    <row r="246" spans="1:1" ht="15.75" customHeight="1" x14ac:dyDescent="0.25">
      <c r="A246" s="7"/>
    </row>
    <row r="247" spans="1:1" ht="15.75" customHeight="1" x14ac:dyDescent="0.25">
      <c r="A247" s="7"/>
    </row>
    <row r="248" spans="1:1" ht="15.75" customHeight="1" x14ac:dyDescent="0.25">
      <c r="A248" s="7"/>
    </row>
    <row r="249" spans="1:1" ht="15.75" customHeight="1" x14ac:dyDescent="0.25">
      <c r="A249" s="7"/>
    </row>
    <row r="250" spans="1:1" ht="15.75" customHeight="1" x14ac:dyDescent="0.25">
      <c r="A250" s="7"/>
    </row>
    <row r="251" spans="1:1" ht="15.75" customHeight="1" x14ac:dyDescent="0.25">
      <c r="A251" s="7"/>
    </row>
    <row r="252" spans="1:1" ht="15.75" customHeight="1" x14ac:dyDescent="0.25">
      <c r="A252" s="7"/>
    </row>
    <row r="253" spans="1:1" ht="15.75" customHeight="1" x14ac:dyDescent="0.25">
      <c r="A253" s="7"/>
    </row>
    <row r="254" spans="1:1" ht="15.75" customHeight="1" x14ac:dyDescent="0.25">
      <c r="A254" s="7"/>
    </row>
    <row r="255" spans="1:1" ht="15.75" customHeight="1" x14ac:dyDescent="0.25">
      <c r="A255" s="7"/>
    </row>
    <row r="256" spans="1:1" ht="15.75" customHeight="1" x14ac:dyDescent="0.25">
      <c r="A256" s="7"/>
    </row>
    <row r="257" spans="1:1" ht="15.75" customHeight="1" x14ac:dyDescent="0.25">
      <c r="A257" s="7"/>
    </row>
    <row r="258" spans="1:1" ht="15.75" customHeight="1" x14ac:dyDescent="0.25">
      <c r="A258" s="7"/>
    </row>
    <row r="259" spans="1:1" ht="15.75" customHeight="1" x14ac:dyDescent="0.25">
      <c r="A259" s="7"/>
    </row>
    <row r="260" spans="1:1" ht="15.75" customHeight="1" x14ac:dyDescent="0.25">
      <c r="A260" s="7"/>
    </row>
    <row r="261" spans="1:1" ht="15.75" customHeight="1" x14ac:dyDescent="0.25">
      <c r="A261" s="7"/>
    </row>
    <row r="262" spans="1:1" ht="15.75" customHeight="1" x14ac:dyDescent="0.25">
      <c r="A262" s="7"/>
    </row>
    <row r="263" spans="1:1" ht="15.75" customHeight="1" x14ac:dyDescent="0.25">
      <c r="A263" s="7"/>
    </row>
    <row r="264" spans="1:1" ht="15.75" customHeight="1" x14ac:dyDescent="0.25">
      <c r="A264" s="7"/>
    </row>
    <row r="265" spans="1:1" ht="15.75" customHeight="1" x14ac:dyDescent="0.25">
      <c r="A265" s="7"/>
    </row>
    <row r="266" spans="1:1" ht="15.75" customHeight="1" x14ac:dyDescent="0.25">
      <c r="A266" s="7"/>
    </row>
    <row r="267" spans="1:1" ht="15.75" customHeight="1" x14ac:dyDescent="0.25">
      <c r="A267" s="7"/>
    </row>
    <row r="268" spans="1:1" ht="15.75" customHeight="1" x14ac:dyDescent="0.25">
      <c r="A268" s="7"/>
    </row>
    <row r="269" spans="1:1" ht="15.75" customHeight="1" x14ac:dyDescent="0.25">
      <c r="A269" s="7"/>
    </row>
    <row r="270" spans="1:1" ht="15.75" customHeight="1" x14ac:dyDescent="0.25">
      <c r="A270" s="7"/>
    </row>
    <row r="271" spans="1:1" ht="15.75" customHeight="1" x14ac:dyDescent="0.25">
      <c r="A271" s="7"/>
    </row>
    <row r="272" spans="1:1" ht="15.75" customHeight="1" x14ac:dyDescent="0.25">
      <c r="A272" s="7"/>
    </row>
    <row r="273" spans="1:1" ht="15.75" customHeight="1" x14ac:dyDescent="0.25">
      <c r="A273" s="7"/>
    </row>
    <row r="274" spans="1:1" ht="15.75" customHeight="1" x14ac:dyDescent="0.25">
      <c r="A274" s="7"/>
    </row>
    <row r="275" spans="1:1" ht="15.75" customHeight="1" x14ac:dyDescent="0.25">
      <c r="A275" s="7"/>
    </row>
    <row r="276" spans="1:1" ht="15.75" customHeight="1" x14ac:dyDescent="0.25">
      <c r="A276" s="7"/>
    </row>
    <row r="277" spans="1:1" ht="15.75" customHeight="1" x14ac:dyDescent="0.25">
      <c r="A277" s="7"/>
    </row>
    <row r="278" spans="1:1" ht="15.75" customHeight="1" x14ac:dyDescent="0.25">
      <c r="A278" s="7"/>
    </row>
    <row r="279" spans="1:1" ht="15.75" customHeight="1" x14ac:dyDescent="0.25">
      <c r="A279" s="7"/>
    </row>
    <row r="280" spans="1:1" ht="15.75" customHeight="1" x14ac:dyDescent="0.25">
      <c r="A280" s="7"/>
    </row>
    <row r="281" spans="1:1" ht="15.75" customHeight="1" x14ac:dyDescent="0.25">
      <c r="A281" s="7"/>
    </row>
    <row r="282" spans="1:1" ht="15.75" customHeight="1" x14ac:dyDescent="0.25">
      <c r="A282" s="7"/>
    </row>
    <row r="283" spans="1:1" ht="15.75" customHeight="1" x14ac:dyDescent="0.25">
      <c r="A283" s="7"/>
    </row>
    <row r="284" spans="1:1" ht="15.75" customHeight="1" x14ac:dyDescent="0.25">
      <c r="A284" s="7"/>
    </row>
    <row r="285" spans="1:1" ht="15.75" customHeight="1" x14ac:dyDescent="0.25">
      <c r="A285" s="7"/>
    </row>
    <row r="286" spans="1:1" ht="15.75" customHeight="1" x14ac:dyDescent="0.25">
      <c r="A286" s="7"/>
    </row>
    <row r="287" spans="1:1" ht="15.75" customHeight="1" x14ac:dyDescent="0.25">
      <c r="A287" s="7"/>
    </row>
    <row r="288" spans="1:1" ht="15.75" customHeight="1" x14ac:dyDescent="0.25">
      <c r="A288" s="7"/>
    </row>
    <row r="289" spans="1:1" ht="15.75" customHeight="1" x14ac:dyDescent="0.25">
      <c r="A289" s="7"/>
    </row>
    <row r="290" spans="1:1" ht="15.75" customHeight="1" x14ac:dyDescent="0.25">
      <c r="A290" s="7"/>
    </row>
    <row r="291" spans="1:1" ht="15.75" customHeight="1" x14ac:dyDescent="0.25">
      <c r="A291" s="7"/>
    </row>
    <row r="292" spans="1:1" ht="15.75" customHeight="1" x14ac:dyDescent="0.25">
      <c r="A292" s="7"/>
    </row>
    <row r="293" spans="1:1" ht="15.75" customHeight="1" x14ac:dyDescent="0.25">
      <c r="A293" s="7"/>
    </row>
    <row r="294" spans="1:1" ht="15.75" customHeight="1" x14ac:dyDescent="0.25">
      <c r="A294" s="7"/>
    </row>
    <row r="295" spans="1:1" ht="15.75" customHeight="1" x14ac:dyDescent="0.25">
      <c r="A295" s="7"/>
    </row>
    <row r="296" spans="1:1" ht="15.75" customHeight="1" x14ac:dyDescent="0.25">
      <c r="A296" s="7"/>
    </row>
    <row r="297" spans="1:1" ht="15.75" customHeight="1" x14ac:dyDescent="0.25">
      <c r="A297" s="7"/>
    </row>
    <row r="298" spans="1:1" ht="15.75" customHeight="1" x14ac:dyDescent="0.25">
      <c r="A298" s="7"/>
    </row>
    <row r="299" spans="1:1" ht="15.75" customHeight="1" x14ac:dyDescent="0.25">
      <c r="A299" s="7"/>
    </row>
    <row r="300" spans="1:1" ht="15.75" customHeight="1" x14ac:dyDescent="0.25">
      <c r="A300" s="7"/>
    </row>
    <row r="301" spans="1:1" ht="15.75" customHeight="1" x14ac:dyDescent="0.25">
      <c r="A301" s="7"/>
    </row>
    <row r="302" spans="1:1" ht="15.75" customHeight="1" x14ac:dyDescent="0.25">
      <c r="A302" s="7"/>
    </row>
    <row r="303" spans="1:1" ht="15.75" customHeight="1" x14ac:dyDescent="0.25">
      <c r="A303" s="7"/>
    </row>
    <row r="304" spans="1:1" ht="15.75" customHeight="1" x14ac:dyDescent="0.25">
      <c r="A304" s="7"/>
    </row>
    <row r="305" spans="1:1" ht="15.75" customHeight="1" x14ac:dyDescent="0.25">
      <c r="A305" s="7"/>
    </row>
    <row r="306" spans="1:1" ht="15.75" customHeight="1" x14ac:dyDescent="0.25">
      <c r="A306" s="7"/>
    </row>
    <row r="307" spans="1:1" ht="15.75" customHeight="1" x14ac:dyDescent="0.25">
      <c r="A307" s="7"/>
    </row>
    <row r="308" spans="1:1" ht="15.75" customHeight="1" x14ac:dyDescent="0.25">
      <c r="A308" s="7"/>
    </row>
    <row r="309" spans="1:1" ht="15.75" customHeight="1" x14ac:dyDescent="0.25">
      <c r="A309" s="7"/>
    </row>
    <row r="310" spans="1:1" ht="15.75" customHeight="1" x14ac:dyDescent="0.25">
      <c r="A310" s="7"/>
    </row>
    <row r="311" spans="1:1" ht="15.75" customHeight="1" x14ac:dyDescent="0.25">
      <c r="A311" s="7"/>
    </row>
    <row r="312" spans="1:1" ht="15.75" customHeight="1" x14ac:dyDescent="0.25">
      <c r="A312" s="7"/>
    </row>
    <row r="313" spans="1:1" ht="15.75" customHeight="1" x14ac:dyDescent="0.25">
      <c r="A313" s="7"/>
    </row>
    <row r="314" spans="1:1" ht="15.75" customHeight="1" x14ac:dyDescent="0.25">
      <c r="A314" s="7"/>
    </row>
    <row r="315" spans="1:1" ht="15.75" customHeight="1" x14ac:dyDescent="0.25">
      <c r="A315" s="7"/>
    </row>
    <row r="316" spans="1:1" ht="15.75" customHeight="1" x14ac:dyDescent="0.25">
      <c r="A316" s="7"/>
    </row>
    <row r="317" spans="1:1" ht="15.75" customHeight="1" x14ac:dyDescent="0.25">
      <c r="A317" s="7"/>
    </row>
    <row r="318" spans="1:1" ht="15.75" customHeight="1" x14ac:dyDescent="0.25">
      <c r="A318" s="7"/>
    </row>
    <row r="319" spans="1:1" ht="15.75" customHeight="1" x14ac:dyDescent="0.25">
      <c r="A319" s="7"/>
    </row>
    <row r="320" spans="1:1" ht="15.75" customHeight="1" x14ac:dyDescent="0.25">
      <c r="A320" s="7"/>
    </row>
    <row r="321" spans="1:1" ht="15.75" customHeight="1" x14ac:dyDescent="0.25">
      <c r="A321" s="7"/>
    </row>
    <row r="322" spans="1:1" ht="15.75" customHeight="1" x14ac:dyDescent="0.25">
      <c r="A322" s="7"/>
    </row>
    <row r="323" spans="1:1" ht="15.75" customHeight="1" x14ac:dyDescent="0.25">
      <c r="A323" s="7"/>
    </row>
    <row r="324" spans="1:1" ht="15.75" customHeight="1" x14ac:dyDescent="0.25">
      <c r="A324" s="7"/>
    </row>
    <row r="325" spans="1:1" ht="15.75" customHeight="1" x14ac:dyDescent="0.25">
      <c r="A325" s="7"/>
    </row>
    <row r="326" spans="1:1" ht="15.75" customHeight="1" x14ac:dyDescent="0.25">
      <c r="A326" s="7"/>
    </row>
    <row r="327" spans="1:1" ht="15.75" customHeight="1" x14ac:dyDescent="0.25">
      <c r="A327" s="7"/>
    </row>
    <row r="328" spans="1:1" ht="15.75" customHeight="1" x14ac:dyDescent="0.25">
      <c r="A328" s="7"/>
    </row>
    <row r="329" spans="1:1" ht="15.75" customHeight="1" x14ac:dyDescent="0.25">
      <c r="A329" s="7"/>
    </row>
    <row r="330" spans="1:1" ht="15.75" customHeight="1" x14ac:dyDescent="0.25">
      <c r="A330" s="7"/>
    </row>
    <row r="331" spans="1:1" ht="15.75" customHeight="1" x14ac:dyDescent="0.25">
      <c r="A331" s="7"/>
    </row>
    <row r="332" spans="1:1" ht="15.75" customHeight="1" x14ac:dyDescent="0.25">
      <c r="A332" s="7"/>
    </row>
    <row r="333" spans="1:1" ht="15.75" customHeight="1" x14ac:dyDescent="0.25">
      <c r="A333" s="7"/>
    </row>
    <row r="334" spans="1:1" ht="15.75" customHeight="1" x14ac:dyDescent="0.25">
      <c r="A334" s="7"/>
    </row>
    <row r="335" spans="1:1" ht="15.75" customHeight="1" x14ac:dyDescent="0.25">
      <c r="A335" s="7"/>
    </row>
    <row r="336" spans="1:1" ht="15.75" customHeight="1" x14ac:dyDescent="0.25">
      <c r="A336" s="7"/>
    </row>
    <row r="337" spans="1:1" ht="15.75" customHeight="1" x14ac:dyDescent="0.25">
      <c r="A337" s="7"/>
    </row>
    <row r="338" spans="1:1" ht="15.75" customHeight="1" x14ac:dyDescent="0.25">
      <c r="A338" s="7"/>
    </row>
    <row r="339" spans="1:1" ht="15.75" customHeight="1" x14ac:dyDescent="0.25">
      <c r="A339" s="7"/>
    </row>
    <row r="340" spans="1:1" ht="15.75" customHeight="1" x14ac:dyDescent="0.25">
      <c r="A340" s="7"/>
    </row>
    <row r="341" spans="1:1" ht="15.75" customHeight="1" x14ac:dyDescent="0.25">
      <c r="A341" s="7"/>
    </row>
    <row r="342" spans="1:1" ht="15.75" customHeight="1" x14ac:dyDescent="0.25">
      <c r="A342" s="7"/>
    </row>
    <row r="343" spans="1:1" ht="15.75" customHeight="1" x14ac:dyDescent="0.25">
      <c r="A343" s="7"/>
    </row>
    <row r="344" spans="1:1" ht="15.75" customHeight="1" x14ac:dyDescent="0.25">
      <c r="A344" s="7"/>
    </row>
    <row r="345" spans="1:1" ht="15.75" customHeight="1" x14ac:dyDescent="0.25">
      <c r="A345" s="7"/>
    </row>
    <row r="346" spans="1:1" ht="15.75" customHeight="1" x14ac:dyDescent="0.25">
      <c r="A346" s="7"/>
    </row>
    <row r="347" spans="1:1" ht="15.75" customHeight="1" x14ac:dyDescent="0.25">
      <c r="A347" s="7"/>
    </row>
    <row r="348" spans="1:1" ht="15.75" customHeight="1" x14ac:dyDescent="0.25">
      <c r="A348" s="7"/>
    </row>
    <row r="349" spans="1:1" ht="15.75" customHeight="1" x14ac:dyDescent="0.25">
      <c r="A349" s="7"/>
    </row>
    <row r="350" spans="1:1" ht="15.75" customHeight="1" x14ac:dyDescent="0.25">
      <c r="A350" s="7"/>
    </row>
    <row r="351" spans="1:1" ht="15.75" customHeight="1" x14ac:dyDescent="0.25">
      <c r="A351" s="7"/>
    </row>
    <row r="352" spans="1:1" ht="15.75" customHeight="1" x14ac:dyDescent="0.25">
      <c r="A352" s="7"/>
    </row>
    <row r="353" spans="1:1" ht="15.75" customHeight="1" x14ac:dyDescent="0.25">
      <c r="A353" s="7"/>
    </row>
    <row r="354" spans="1:1" ht="15.75" customHeight="1" x14ac:dyDescent="0.25">
      <c r="A354" s="7"/>
    </row>
    <row r="355" spans="1:1" ht="15.75" customHeight="1" x14ac:dyDescent="0.25">
      <c r="A355" s="7"/>
    </row>
    <row r="356" spans="1:1" ht="15.75" customHeight="1" x14ac:dyDescent="0.25">
      <c r="A356" s="7"/>
    </row>
    <row r="357" spans="1:1" ht="15.75" customHeight="1" x14ac:dyDescent="0.25">
      <c r="A357" s="7"/>
    </row>
    <row r="358" spans="1:1" ht="15.75" customHeight="1" x14ac:dyDescent="0.25">
      <c r="A358" s="7"/>
    </row>
    <row r="359" spans="1:1" ht="15.75" customHeight="1" x14ac:dyDescent="0.25">
      <c r="A359" s="7"/>
    </row>
    <row r="360" spans="1:1" ht="15.75" customHeight="1" x14ac:dyDescent="0.25">
      <c r="A360" s="7"/>
    </row>
    <row r="361" spans="1:1" ht="15.75" customHeight="1" x14ac:dyDescent="0.25">
      <c r="A361" s="7"/>
    </row>
    <row r="362" spans="1:1" ht="15.75" customHeight="1" x14ac:dyDescent="0.25">
      <c r="A362" s="7"/>
    </row>
    <row r="363" spans="1:1" ht="15.75" customHeight="1" x14ac:dyDescent="0.25">
      <c r="A363" s="7"/>
    </row>
    <row r="364" spans="1:1" ht="15.75" customHeight="1" x14ac:dyDescent="0.25">
      <c r="A364" s="7"/>
    </row>
    <row r="365" spans="1:1" ht="15.75" customHeight="1" x14ac:dyDescent="0.25">
      <c r="A365" s="7"/>
    </row>
    <row r="366" spans="1:1" ht="15.75" customHeight="1" x14ac:dyDescent="0.25">
      <c r="A366" s="7"/>
    </row>
    <row r="367" spans="1:1" ht="15.75" customHeight="1" x14ac:dyDescent="0.25">
      <c r="A367" s="7"/>
    </row>
    <row r="368" spans="1:1" ht="15.75" customHeight="1" x14ac:dyDescent="0.25">
      <c r="A368" s="7"/>
    </row>
    <row r="369" spans="1:1" ht="15.75" customHeight="1" x14ac:dyDescent="0.25">
      <c r="A369" s="7"/>
    </row>
    <row r="370" spans="1:1" ht="15.75" customHeight="1" x14ac:dyDescent="0.25">
      <c r="A370" s="7"/>
    </row>
    <row r="371" spans="1:1" ht="15.75" customHeight="1" x14ac:dyDescent="0.25">
      <c r="A371" s="7"/>
    </row>
    <row r="372" spans="1:1" ht="15.75" customHeight="1" x14ac:dyDescent="0.25">
      <c r="A372" s="7"/>
    </row>
    <row r="373" spans="1:1" ht="15.75" customHeight="1" x14ac:dyDescent="0.25">
      <c r="A373" s="7"/>
    </row>
    <row r="374" spans="1:1" ht="15.75" customHeight="1" x14ac:dyDescent="0.25">
      <c r="A374" s="7"/>
    </row>
    <row r="375" spans="1:1" ht="15.75" customHeight="1" x14ac:dyDescent="0.25">
      <c r="A375" s="7"/>
    </row>
    <row r="376" spans="1:1" ht="15.75" customHeight="1" x14ac:dyDescent="0.25">
      <c r="A376" s="7"/>
    </row>
    <row r="377" spans="1:1" ht="15.75" customHeight="1" x14ac:dyDescent="0.25">
      <c r="A377" s="7"/>
    </row>
    <row r="378" spans="1:1" ht="15.75" customHeight="1" x14ac:dyDescent="0.25">
      <c r="A378" s="7"/>
    </row>
    <row r="379" spans="1:1" ht="15.75" customHeight="1" x14ac:dyDescent="0.25">
      <c r="A379" s="7"/>
    </row>
    <row r="380" spans="1:1" ht="15.75" customHeight="1" x14ac:dyDescent="0.25">
      <c r="A380" s="7"/>
    </row>
    <row r="381" spans="1:1" ht="15.75" customHeight="1" x14ac:dyDescent="0.25">
      <c r="A381" s="7"/>
    </row>
    <row r="382" spans="1:1" ht="15.75" customHeight="1" x14ac:dyDescent="0.25">
      <c r="A382" s="7"/>
    </row>
    <row r="383" spans="1:1" ht="15.75" customHeight="1" x14ac:dyDescent="0.25">
      <c r="A383" s="7"/>
    </row>
    <row r="384" spans="1:1" ht="15.75" customHeight="1" x14ac:dyDescent="0.25">
      <c r="A384" s="7"/>
    </row>
    <row r="385" spans="1:1" ht="15.75" customHeight="1" x14ac:dyDescent="0.25">
      <c r="A385" s="7"/>
    </row>
    <row r="386" spans="1:1" ht="15.75" customHeight="1" x14ac:dyDescent="0.25">
      <c r="A386" s="7"/>
    </row>
    <row r="387" spans="1:1" ht="15.75" customHeight="1" x14ac:dyDescent="0.25">
      <c r="A387" s="7"/>
    </row>
    <row r="388" spans="1:1" ht="15.75" customHeight="1" x14ac:dyDescent="0.25">
      <c r="A388" s="7"/>
    </row>
    <row r="389" spans="1:1" ht="15.75" customHeight="1" x14ac:dyDescent="0.25">
      <c r="A389" s="7"/>
    </row>
    <row r="390" spans="1:1" ht="15.75" customHeight="1" x14ac:dyDescent="0.25">
      <c r="A390" s="7"/>
    </row>
    <row r="391" spans="1:1" ht="15.75" customHeight="1" x14ac:dyDescent="0.25">
      <c r="A391" s="7"/>
    </row>
    <row r="392" spans="1:1" ht="15.75" customHeight="1" x14ac:dyDescent="0.25">
      <c r="A392" s="7"/>
    </row>
    <row r="393" spans="1:1" ht="15.75" customHeight="1" x14ac:dyDescent="0.25">
      <c r="A393" s="7"/>
    </row>
    <row r="394" spans="1:1" ht="15.75" customHeight="1" x14ac:dyDescent="0.25">
      <c r="A394" s="7"/>
    </row>
    <row r="395" spans="1:1" ht="15.75" customHeight="1" x14ac:dyDescent="0.25">
      <c r="A395" s="7"/>
    </row>
    <row r="396" spans="1:1" ht="15.75" customHeight="1" x14ac:dyDescent="0.25">
      <c r="A396" s="7"/>
    </row>
    <row r="397" spans="1:1" ht="15.75" customHeight="1" x14ac:dyDescent="0.25">
      <c r="A397" s="7"/>
    </row>
    <row r="398" spans="1:1" ht="15.75" customHeight="1" x14ac:dyDescent="0.25">
      <c r="A398" s="7"/>
    </row>
    <row r="399" spans="1:1" ht="15.75" customHeight="1" x14ac:dyDescent="0.25">
      <c r="A399" s="7"/>
    </row>
    <row r="400" spans="1:1" ht="15.75" customHeight="1" x14ac:dyDescent="0.25">
      <c r="A400" s="7"/>
    </row>
    <row r="401" spans="1:1" ht="15.75" customHeight="1" x14ac:dyDescent="0.25">
      <c r="A401" s="7"/>
    </row>
    <row r="402" spans="1:1" ht="15.75" customHeight="1" x14ac:dyDescent="0.25">
      <c r="A402" s="7"/>
    </row>
    <row r="403" spans="1:1" ht="15.75" customHeight="1" x14ac:dyDescent="0.25">
      <c r="A403" s="7"/>
    </row>
    <row r="404" spans="1:1" ht="15.75" customHeight="1" x14ac:dyDescent="0.25">
      <c r="A404" s="7"/>
    </row>
    <row r="405" spans="1:1" ht="15.75" customHeight="1" x14ac:dyDescent="0.25">
      <c r="A405" s="7"/>
    </row>
    <row r="406" spans="1:1" ht="15.75" customHeight="1" x14ac:dyDescent="0.25">
      <c r="A406" s="7"/>
    </row>
    <row r="407" spans="1:1" ht="15.75" customHeight="1" x14ac:dyDescent="0.25">
      <c r="A407" s="7"/>
    </row>
    <row r="408" spans="1:1" ht="15.75" customHeight="1" x14ac:dyDescent="0.25">
      <c r="A408" s="7"/>
    </row>
    <row r="409" spans="1:1" ht="15.75" customHeight="1" x14ac:dyDescent="0.25">
      <c r="A409" s="7"/>
    </row>
    <row r="410" spans="1:1" ht="15.75" customHeight="1" x14ac:dyDescent="0.25">
      <c r="A410" s="7"/>
    </row>
    <row r="411" spans="1:1" ht="15.75" customHeight="1" x14ac:dyDescent="0.25">
      <c r="A411" s="7"/>
    </row>
    <row r="412" spans="1:1" ht="15.75" customHeight="1" x14ac:dyDescent="0.25">
      <c r="A412" s="7"/>
    </row>
    <row r="413" spans="1:1" ht="15.75" customHeight="1" x14ac:dyDescent="0.25">
      <c r="A413" s="7"/>
    </row>
    <row r="414" spans="1:1" ht="15.75" customHeight="1" x14ac:dyDescent="0.25">
      <c r="A414" s="7"/>
    </row>
    <row r="415" spans="1:1" ht="15.75" customHeight="1" x14ac:dyDescent="0.25">
      <c r="A415" s="7"/>
    </row>
    <row r="416" spans="1:1" ht="15.75" customHeight="1" x14ac:dyDescent="0.25">
      <c r="A416" s="7"/>
    </row>
    <row r="417" spans="1:1" ht="15.75" customHeight="1" x14ac:dyDescent="0.25">
      <c r="A417" s="7"/>
    </row>
    <row r="418" spans="1:1" ht="15.75" customHeight="1" x14ac:dyDescent="0.25">
      <c r="A418" s="7"/>
    </row>
    <row r="419" spans="1:1" ht="15.75" customHeight="1" x14ac:dyDescent="0.25">
      <c r="A419" s="7"/>
    </row>
    <row r="420" spans="1:1" ht="15.75" customHeight="1" x14ac:dyDescent="0.25">
      <c r="A420" s="7"/>
    </row>
    <row r="421" spans="1:1" ht="15.75" customHeight="1" x14ac:dyDescent="0.25">
      <c r="A421" s="7"/>
    </row>
    <row r="422" spans="1:1" ht="15.75" customHeight="1" x14ac:dyDescent="0.25">
      <c r="A422" s="7"/>
    </row>
    <row r="423" spans="1:1" ht="15.75" customHeight="1" x14ac:dyDescent="0.25">
      <c r="A423" s="7"/>
    </row>
    <row r="424" spans="1:1" ht="15.75" customHeight="1" x14ac:dyDescent="0.25">
      <c r="A424" s="7"/>
    </row>
    <row r="425" spans="1:1" ht="15.75" customHeight="1" x14ac:dyDescent="0.25">
      <c r="A425" s="7"/>
    </row>
    <row r="426" spans="1:1" ht="15.75" customHeight="1" x14ac:dyDescent="0.25">
      <c r="A426" s="7"/>
    </row>
    <row r="427" spans="1:1" ht="15.75" customHeight="1" x14ac:dyDescent="0.25">
      <c r="A427" s="7"/>
    </row>
    <row r="428" spans="1:1" ht="15.75" customHeight="1" x14ac:dyDescent="0.25">
      <c r="A428" s="7"/>
    </row>
    <row r="429" spans="1:1" ht="15.75" customHeight="1" x14ac:dyDescent="0.25">
      <c r="A429" s="7"/>
    </row>
    <row r="430" spans="1:1" ht="15.75" customHeight="1" x14ac:dyDescent="0.25">
      <c r="A430" s="7"/>
    </row>
    <row r="431" spans="1:1" ht="15.75" customHeight="1" x14ac:dyDescent="0.25">
      <c r="A431" s="7"/>
    </row>
    <row r="432" spans="1:1" ht="15.75" customHeight="1" x14ac:dyDescent="0.25">
      <c r="A432" s="7"/>
    </row>
    <row r="433" spans="1:1" ht="15.75" customHeight="1" x14ac:dyDescent="0.25">
      <c r="A433" s="7"/>
    </row>
    <row r="434" spans="1:1" ht="15.75" customHeight="1" x14ac:dyDescent="0.25">
      <c r="A434" s="7"/>
    </row>
    <row r="435" spans="1:1" ht="15.75" customHeight="1" x14ac:dyDescent="0.25">
      <c r="A435" s="7"/>
    </row>
    <row r="436" spans="1:1" ht="15.75" customHeight="1" x14ac:dyDescent="0.25">
      <c r="A436" s="7"/>
    </row>
    <row r="437" spans="1:1" ht="15.75" customHeight="1" x14ac:dyDescent="0.25">
      <c r="A437" s="7"/>
    </row>
    <row r="438" spans="1:1" ht="15.75" customHeight="1" x14ac:dyDescent="0.25">
      <c r="A438" s="7"/>
    </row>
    <row r="439" spans="1:1" ht="15.75" customHeight="1" x14ac:dyDescent="0.25">
      <c r="A439" s="7"/>
    </row>
    <row r="440" spans="1:1" ht="15.75" customHeight="1" x14ac:dyDescent="0.25">
      <c r="A440" s="7"/>
    </row>
    <row r="441" spans="1:1" ht="15.75" customHeight="1" x14ac:dyDescent="0.25">
      <c r="A441" s="7"/>
    </row>
    <row r="442" spans="1:1" ht="15.75" customHeight="1" x14ac:dyDescent="0.25">
      <c r="A442" s="7"/>
    </row>
    <row r="443" spans="1:1" ht="15.75" customHeight="1" x14ac:dyDescent="0.25">
      <c r="A443" s="7"/>
    </row>
    <row r="444" spans="1:1" ht="15.75" customHeight="1" x14ac:dyDescent="0.25">
      <c r="A444" s="7"/>
    </row>
    <row r="445" spans="1:1" ht="15.75" customHeight="1" x14ac:dyDescent="0.25">
      <c r="A445" s="7"/>
    </row>
    <row r="446" spans="1:1" ht="15.75" customHeight="1" x14ac:dyDescent="0.25">
      <c r="A446" s="7"/>
    </row>
    <row r="447" spans="1:1" ht="15.75" customHeight="1" x14ac:dyDescent="0.25">
      <c r="A447" s="7"/>
    </row>
    <row r="448" spans="1:1" ht="15.75" customHeight="1" x14ac:dyDescent="0.25">
      <c r="A448" s="7"/>
    </row>
    <row r="449" spans="1:1" ht="15.75" customHeight="1" x14ac:dyDescent="0.25">
      <c r="A449" s="7"/>
    </row>
    <row r="450" spans="1:1" ht="15.75" customHeight="1" x14ac:dyDescent="0.25">
      <c r="A450" s="7"/>
    </row>
    <row r="451" spans="1:1" ht="15.75" customHeight="1" x14ac:dyDescent="0.25">
      <c r="A451" s="7"/>
    </row>
    <row r="452" spans="1:1" ht="15.75" customHeight="1" x14ac:dyDescent="0.25">
      <c r="A452" s="7"/>
    </row>
    <row r="453" spans="1:1" ht="15.75" customHeight="1" x14ac:dyDescent="0.25">
      <c r="A453" s="7"/>
    </row>
    <row r="454" spans="1:1" ht="15.75" customHeight="1" x14ac:dyDescent="0.25">
      <c r="A454" s="7"/>
    </row>
    <row r="455" spans="1:1" ht="15.75" customHeight="1" x14ac:dyDescent="0.25">
      <c r="A455" s="7"/>
    </row>
    <row r="456" spans="1:1" ht="15.75" customHeight="1" x14ac:dyDescent="0.25">
      <c r="A456" s="7"/>
    </row>
    <row r="457" spans="1:1" ht="15.75" customHeight="1" x14ac:dyDescent="0.25">
      <c r="A457" s="7"/>
    </row>
    <row r="458" spans="1:1" ht="15.75" customHeight="1" x14ac:dyDescent="0.25">
      <c r="A458" s="7"/>
    </row>
    <row r="459" spans="1:1" ht="15.75" customHeight="1" x14ac:dyDescent="0.25">
      <c r="A459" s="7"/>
    </row>
    <row r="460" spans="1:1" ht="15.75" customHeight="1" x14ac:dyDescent="0.25">
      <c r="A460" s="7"/>
    </row>
    <row r="461" spans="1:1" ht="15.75" customHeight="1" x14ac:dyDescent="0.25">
      <c r="A461" s="7"/>
    </row>
    <row r="462" spans="1:1" ht="15.75" customHeight="1" x14ac:dyDescent="0.25">
      <c r="A462" s="7"/>
    </row>
    <row r="463" spans="1:1" ht="15.75" customHeight="1" x14ac:dyDescent="0.25">
      <c r="A463" s="7"/>
    </row>
    <row r="464" spans="1:1" ht="15.75" customHeight="1" x14ac:dyDescent="0.25">
      <c r="A464" s="7"/>
    </row>
    <row r="465" spans="1:1" ht="15.75" customHeight="1" x14ac:dyDescent="0.25">
      <c r="A465" s="7"/>
    </row>
    <row r="466" spans="1:1" ht="15.75" customHeight="1" x14ac:dyDescent="0.25">
      <c r="A466" s="7"/>
    </row>
    <row r="467" spans="1:1" ht="15.75" customHeight="1" x14ac:dyDescent="0.25">
      <c r="A467" s="7"/>
    </row>
    <row r="468" spans="1:1" ht="15.75" customHeight="1" x14ac:dyDescent="0.25">
      <c r="A468" s="7"/>
    </row>
    <row r="469" spans="1:1" ht="15.75" customHeight="1" x14ac:dyDescent="0.25">
      <c r="A469" s="7"/>
    </row>
    <row r="470" spans="1:1" ht="15.75" customHeight="1" x14ac:dyDescent="0.25">
      <c r="A470" s="7"/>
    </row>
    <row r="471" spans="1:1" ht="15.75" customHeight="1" x14ac:dyDescent="0.25">
      <c r="A471" s="7"/>
    </row>
    <row r="472" spans="1:1" ht="15.75" customHeight="1" x14ac:dyDescent="0.25">
      <c r="A472" s="7"/>
    </row>
    <row r="473" spans="1:1" ht="15.75" customHeight="1" x14ac:dyDescent="0.25">
      <c r="A473" s="7"/>
    </row>
    <row r="474" spans="1:1" ht="15.75" customHeight="1" x14ac:dyDescent="0.25">
      <c r="A474" s="7"/>
    </row>
    <row r="475" spans="1:1" ht="15.75" customHeight="1" x14ac:dyDescent="0.25">
      <c r="A475" s="7"/>
    </row>
    <row r="476" spans="1:1" ht="15.75" customHeight="1" x14ac:dyDescent="0.25">
      <c r="A476" s="7"/>
    </row>
    <row r="477" spans="1:1" ht="15.75" customHeight="1" x14ac:dyDescent="0.25">
      <c r="A477" s="7"/>
    </row>
    <row r="478" spans="1:1" ht="15.75" customHeight="1" x14ac:dyDescent="0.25">
      <c r="A478" s="7"/>
    </row>
    <row r="479" spans="1:1" ht="15.75" customHeight="1" x14ac:dyDescent="0.25">
      <c r="A479" s="7"/>
    </row>
    <row r="480" spans="1:1" ht="15.75" customHeight="1" x14ac:dyDescent="0.25">
      <c r="A480" s="7"/>
    </row>
    <row r="481" spans="1:1" ht="15.75" customHeight="1" x14ac:dyDescent="0.25">
      <c r="A481" s="7"/>
    </row>
    <row r="482" spans="1:1" ht="15.75" customHeight="1" x14ac:dyDescent="0.25">
      <c r="A482" s="7"/>
    </row>
    <row r="483" spans="1:1" ht="15.75" customHeight="1" x14ac:dyDescent="0.25">
      <c r="A483" s="7"/>
    </row>
    <row r="484" spans="1:1" ht="15.75" customHeight="1" x14ac:dyDescent="0.25">
      <c r="A484" s="7"/>
    </row>
    <row r="485" spans="1:1" ht="15.75" customHeight="1" x14ac:dyDescent="0.25">
      <c r="A485" s="7"/>
    </row>
    <row r="486" spans="1:1" ht="15.75" customHeight="1" x14ac:dyDescent="0.25">
      <c r="A486" s="7"/>
    </row>
    <row r="487" spans="1:1" ht="15.75" customHeight="1" x14ac:dyDescent="0.25">
      <c r="A487" s="7"/>
    </row>
    <row r="488" spans="1:1" ht="15.75" customHeight="1" x14ac:dyDescent="0.25">
      <c r="A488" s="7"/>
    </row>
    <row r="489" spans="1:1" ht="15.75" customHeight="1" x14ac:dyDescent="0.25">
      <c r="A489" s="7"/>
    </row>
    <row r="490" spans="1:1" ht="15.75" customHeight="1" x14ac:dyDescent="0.25">
      <c r="A490" s="7"/>
    </row>
    <row r="491" spans="1:1" ht="15.75" customHeight="1" x14ac:dyDescent="0.25">
      <c r="A491" s="7"/>
    </row>
    <row r="492" spans="1:1" ht="15.75" customHeight="1" x14ac:dyDescent="0.25">
      <c r="A492" s="7"/>
    </row>
    <row r="493" spans="1:1" ht="15.75" customHeight="1" x14ac:dyDescent="0.25">
      <c r="A493" s="7"/>
    </row>
    <row r="494" spans="1:1" ht="15.75" customHeight="1" x14ac:dyDescent="0.25">
      <c r="A494" s="7"/>
    </row>
    <row r="495" spans="1:1" ht="15.75" customHeight="1" x14ac:dyDescent="0.25">
      <c r="A495" s="7"/>
    </row>
    <row r="496" spans="1:1" ht="15.75" customHeight="1" x14ac:dyDescent="0.25">
      <c r="A496" s="7"/>
    </row>
    <row r="497" spans="1:1" ht="15.75" customHeight="1" x14ac:dyDescent="0.25">
      <c r="A497" s="7"/>
    </row>
    <row r="498" spans="1:1" ht="15.75" customHeight="1" x14ac:dyDescent="0.25">
      <c r="A498" s="7"/>
    </row>
    <row r="499" spans="1:1" ht="15.75" customHeight="1" x14ac:dyDescent="0.25">
      <c r="A499" s="7"/>
    </row>
    <row r="500" spans="1:1" ht="15.75" customHeight="1" x14ac:dyDescent="0.25">
      <c r="A500" s="7"/>
    </row>
    <row r="501" spans="1:1" ht="15.75" customHeight="1" x14ac:dyDescent="0.25">
      <c r="A501" s="7"/>
    </row>
    <row r="502" spans="1:1" ht="15.75" customHeight="1" x14ac:dyDescent="0.25">
      <c r="A502" s="7"/>
    </row>
    <row r="503" spans="1:1" ht="15.75" customHeight="1" x14ac:dyDescent="0.25">
      <c r="A503" s="7"/>
    </row>
    <row r="504" spans="1:1" ht="15.75" customHeight="1" x14ac:dyDescent="0.25">
      <c r="A504" s="7"/>
    </row>
    <row r="505" spans="1:1" ht="15.75" customHeight="1" x14ac:dyDescent="0.25">
      <c r="A505" s="7"/>
    </row>
    <row r="506" spans="1:1" ht="15.75" customHeight="1" x14ac:dyDescent="0.25">
      <c r="A506" s="7"/>
    </row>
    <row r="507" spans="1:1" ht="15.75" customHeight="1" x14ac:dyDescent="0.25">
      <c r="A507" s="7"/>
    </row>
    <row r="508" spans="1:1" ht="15.75" customHeight="1" x14ac:dyDescent="0.25">
      <c r="A508" s="7"/>
    </row>
    <row r="509" spans="1:1" ht="15.75" customHeight="1" x14ac:dyDescent="0.25">
      <c r="A509" s="7"/>
    </row>
    <row r="510" spans="1:1" ht="15.75" customHeight="1" x14ac:dyDescent="0.25">
      <c r="A510" s="7"/>
    </row>
    <row r="511" spans="1:1" ht="15.75" customHeight="1" x14ac:dyDescent="0.25">
      <c r="A511" s="7"/>
    </row>
    <row r="512" spans="1:1" ht="15.75" customHeight="1" x14ac:dyDescent="0.25">
      <c r="A512" s="7"/>
    </row>
    <row r="513" spans="1:1" ht="15.75" customHeight="1" x14ac:dyDescent="0.25">
      <c r="A513" s="7"/>
    </row>
    <row r="514" spans="1:1" ht="15.75" customHeight="1" x14ac:dyDescent="0.25">
      <c r="A514" s="7"/>
    </row>
    <row r="515" spans="1:1" ht="15.75" customHeight="1" x14ac:dyDescent="0.25">
      <c r="A515" s="7"/>
    </row>
    <row r="516" spans="1:1" ht="15.75" customHeight="1" x14ac:dyDescent="0.25">
      <c r="A516" s="7"/>
    </row>
    <row r="517" spans="1:1" ht="15.75" customHeight="1" x14ac:dyDescent="0.25">
      <c r="A517" s="7"/>
    </row>
    <row r="518" spans="1:1" ht="15.75" customHeight="1" x14ac:dyDescent="0.25">
      <c r="A518" s="7"/>
    </row>
    <row r="519" spans="1:1" ht="15.75" customHeight="1" x14ac:dyDescent="0.25">
      <c r="A519" s="7"/>
    </row>
    <row r="520" spans="1:1" ht="15.75" customHeight="1" x14ac:dyDescent="0.25">
      <c r="A520" s="7"/>
    </row>
    <row r="521" spans="1:1" ht="15.75" customHeight="1" x14ac:dyDescent="0.25">
      <c r="A521" s="7"/>
    </row>
    <row r="522" spans="1:1" ht="15.75" customHeight="1" x14ac:dyDescent="0.25">
      <c r="A522" s="7"/>
    </row>
    <row r="523" spans="1:1" ht="15.75" customHeight="1" x14ac:dyDescent="0.25">
      <c r="A523" s="7"/>
    </row>
    <row r="524" spans="1:1" ht="15.75" customHeight="1" x14ac:dyDescent="0.25">
      <c r="A524" s="7"/>
    </row>
    <row r="525" spans="1:1" ht="15.75" customHeight="1" x14ac:dyDescent="0.25">
      <c r="A525" s="7"/>
    </row>
    <row r="526" spans="1:1" ht="15.75" customHeight="1" x14ac:dyDescent="0.25">
      <c r="A526" s="7"/>
    </row>
    <row r="527" spans="1:1" ht="15.75" customHeight="1" x14ac:dyDescent="0.25">
      <c r="A527" s="7"/>
    </row>
    <row r="528" spans="1:1" ht="15.75" customHeight="1" x14ac:dyDescent="0.25">
      <c r="A528" s="7"/>
    </row>
    <row r="529" spans="1:1" ht="15.75" customHeight="1" x14ac:dyDescent="0.25">
      <c r="A529" s="7"/>
    </row>
    <row r="530" spans="1:1" ht="15.75" customHeight="1" x14ac:dyDescent="0.25">
      <c r="A530" s="7"/>
    </row>
    <row r="531" spans="1:1" ht="15.75" customHeight="1" x14ac:dyDescent="0.25">
      <c r="A531" s="7"/>
    </row>
    <row r="532" spans="1:1" ht="15.75" customHeight="1" x14ac:dyDescent="0.25">
      <c r="A532" s="7"/>
    </row>
    <row r="533" spans="1:1" ht="15.75" customHeight="1" x14ac:dyDescent="0.25">
      <c r="A533" s="7"/>
    </row>
    <row r="534" spans="1:1" ht="15.75" customHeight="1" x14ac:dyDescent="0.25">
      <c r="A534" s="7"/>
    </row>
    <row r="535" spans="1:1" ht="15.75" customHeight="1" x14ac:dyDescent="0.25">
      <c r="A535" s="7"/>
    </row>
    <row r="536" spans="1:1" ht="15.75" customHeight="1" x14ac:dyDescent="0.25">
      <c r="A536" s="7"/>
    </row>
    <row r="537" spans="1:1" ht="15.75" customHeight="1" x14ac:dyDescent="0.25">
      <c r="A537" s="7"/>
    </row>
    <row r="538" spans="1:1" ht="15.75" customHeight="1" x14ac:dyDescent="0.25">
      <c r="A538" s="7"/>
    </row>
    <row r="539" spans="1:1" ht="15.75" customHeight="1" x14ac:dyDescent="0.25">
      <c r="A539" s="7"/>
    </row>
    <row r="540" spans="1:1" ht="15.75" customHeight="1" x14ac:dyDescent="0.25">
      <c r="A540" s="7"/>
    </row>
    <row r="541" spans="1:1" ht="15.75" customHeight="1" x14ac:dyDescent="0.25">
      <c r="A541" s="7"/>
    </row>
    <row r="542" spans="1:1" ht="15.75" customHeight="1" x14ac:dyDescent="0.25">
      <c r="A542" s="7"/>
    </row>
    <row r="543" spans="1:1" ht="15.75" customHeight="1" x14ac:dyDescent="0.25">
      <c r="A543" s="7"/>
    </row>
    <row r="544" spans="1:1" ht="15.75" customHeight="1" x14ac:dyDescent="0.25">
      <c r="A544" s="7"/>
    </row>
    <row r="545" spans="1:1" ht="15.75" customHeight="1" x14ac:dyDescent="0.25">
      <c r="A545" s="7"/>
    </row>
    <row r="546" spans="1:1" ht="15.75" customHeight="1" x14ac:dyDescent="0.25">
      <c r="A546" s="7"/>
    </row>
    <row r="547" spans="1:1" ht="15.75" customHeight="1" x14ac:dyDescent="0.25">
      <c r="A547" s="7"/>
    </row>
    <row r="548" spans="1:1" ht="15.75" customHeight="1" x14ac:dyDescent="0.25">
      <c r="A548" s="7"/>
    </row>
    <row r="549" spans="1:1" ht="15.75" customHeight="1" x14ac:dyDescent="0.25">
      <c r="A549" s="7"/>
    </row>
    <row r="550" spans="1:1" ht="15.75" customHeight="1" x14ac:dyDescent="0.25">
      <c r="A550" s="7"/>
    </row>
    <row r="551" spans="1:1" ht="15.75" customHeight="1" x14ac:dyDescent="0.25">
      <c r="A551" s="7"/>
    </row>
    <row r="552" spans="1:1" ht="15.75" customHeight="1" x14ac:dyDescent="0.25">
      <c r="A552" s="7"/>
    </row>
    <row r="553" spans="1:1" ht="15.75" customHeight="1" x14ac:dyDescent="0.25">
      <c r="A553" s="7"/>
    </row>
    <row r="554" spans="1:1" ht="15.75" customHeight="1" x14ac:dyDescent="0.25">
      <c r="A554" s="7"/>
    </row>
    <row r="555" spans="1:1" ht="15.75" customHeight="1" x14ac:dyDescent="0.25">
      <c r="A555" s="7"/>
    </row>
    <row r="556" spans="1:1" ht="15.75" customHeight="1" x14ac:dyDescent="0.25">
      <c r="A556" s="7"/>
    </row>
    <row r="557" spans="1:1" ht="15.75" customHeight="1" x14ac:dyDescent="0.25">
      <c r="A557" s="7"/>
    </row>
    <row r="558" spans="1:1" ht="15.75" customHeight="1" x14ac:dyDescent="0.25">
      <c r="A558" s="7"/>
    </row>
    <row r="559" spans="1:1" ht="15.75" customHeight="1" x14ac:dyDescent="0.25">
      <c r="A559" s="7"/>
    </row>
    <row r="560" spans="1:1" ht="15.75" customHeight="1" x14ac:dyDescent="0.25">
      <c r="A560" s="7"/>
    </row>
    <row r="561" spans="1:1" ht="15.75" customHeight="1" x14ac:dyDescent="0.25">
      <c r="A561" s="7"/>
    </row>
    <row r="562" spans="1:1" ht="15.75" customHeight="1" x14ac:dyDescent="0.25">
      <c r="A562" s="7"/>
    </row>
    <row r="563" spans="1:1" ht="15.75" customHeight="1" x14ac:dyDescent="0.25">
      <c r="A563" s="7"/>
    </row>
    <row r="564" spans="1:1" ht="15.75" customHeight="1" x14ac:dyDescent="0.25">
      <c r="A564" s="7"/>
    </row>
    <row r="565" spans="1:1" ht="15.75" customHeight="1" x14ac:dyDescent="0.25">
      <c r="A565" s="7"/>
    </row>
    <row r="566" spans="1:1" ht="15.75" customHeight="1" x14ac:dyDescent="0.25">
      <c r="A566" s="7"/>
    </row>
    <row r="567" spans="1:1" ht="15.75" customHeight="1" x14ac:dyDescent="0.25">
      <c r="A567" s="7"/>
    </row>
    <row r="568" spans="1:1" ht="15.75" customHeight="1" x14ac:dyDescent="0.25">
      <c r="A568" s="7"/>
    </row>
    <row r="569" spans="1:1" ht="15.75" customHeight="1" x14ac:dyDescent="0.25">
      <c r="A569" s="7"/>
    </row>
    <row r="570" spans="1:1" ht="15.75" customHeight="1" x14ac:dyDescent="0.25">
      <c r="A570" s="7"/>
    </row>
    <row r="571" spans="1:1" ht="15.75" customHeight="1" x14ac:dyDescent="0.25">
      <c r="A571" s="7"/>
    </row>
    <row r="572" spans="1:1" ht="15.75" customHeight="1" x14ac:dyDescent="0.25">
      <c r="A572" s="7"/>
    </row>
    <row r="573" spans="1:1" ht="15.75" customHeight="1" x14ac:dyDescent="0.25">
      <c r="A573" s="7"/>
    </row>
    <row r="574" spans="1:1" ht="15.75" customHeight="1" x14ac:dyDescent="0.25">
      <c r="A574" s="7"/>
    </row>
    <row r="575" spans="1:1" ht="15.75" customHeight="1" x14ac:dyDescent="0.25">
      <c r="A575" s="7"/>
    </row>
    <row r="576" spans="1:1" ht="15.75" customHeight="1" x14ac:dyDescent="0.25">
      <c r="A576" s="7"/>
    </row>
    <row r="577" spans="1:1" ht="15.75" customHeight="1" x14ac:dyDescent="0.25">
      <c r="A577" s="7"/>
    </row>
    <row r="578" spans="1:1" ht="15.75" customHeight="1" x14ac:dyDescent="0.25">
      <c r="A578" s="7"/>
    </row>
    <row r="579" spans="1:1" ht="15.75" customHeight="1" x14ac:dyDescent="0.25">
      <c r="A579" s="7"/>
    </row>
    <row r="580" spans="1:1" ht="15.75" customHeight="1" x14ac:dyDescent="0.25">
      <c r="A580" s="7"/>
    </row>
    <row r="581" spans="1:1" ht="15.75" customHeight="1" x14ac:dyDescent="0.25">
      <c r="A581" s="7"/>
    </row>
    <row r="582" spans="1:1" ht="15.75" customHeight="1" x14ac:dyDescent="0.25">
      <c r="A582" s="7"/>
    </row>
    <row r="583" spans="1:1" ht="15.75" customHeight="1" x14ac:dyDescent="0.25">
      <c r="A583" s="7"/>
    </row>
    <row r="584" spans="1:1" ht="15.75" customHeight="1" x14ac:dyDescent="0.25">
      <c r="A584" s="7"/>
    </row>
    <row r="585" spans="1:1" ht="15.75" customHeight="1" x14ac:dyDescent="0.25">
      <c r="A585" s="7"/>
    </row>
    <row r="586" spans="1:1" ht="15.75" customHeight="1" x14ac:dyDescent="0.25">
      <c r="A586" s="7"/>
    </row>
    <row r="587" spans="1:1" ht="15.75" customHeight="1" x14ac:dyDescent="0.25">
      <c r="A587" s="7"/>
    </row>
    <row r="588" spans="1:1" ht="15.75" customHeight="1" x14ac:dyDescent="0.25">
      <c r="A588" s="7"/>
    </row>
    <row r="589" spans="1:1" ht="15.75" customHeight="1" x14ac:dyDescent="0.25">
      <c r="A589" s="7"/>
    </row>
    <row r="590" spans="1:1" ht="15.75" customHeight="1" x14ac:dyDescent="0.25">
      <c r="A590" s="7"/>
    </row>
    <row r="591" spans="1:1" ht="15.75" customHeight="1" x14ac:dyDescent="0.25">
      <c r="A591" s="7"/>
    </row>
    <row r="592" spans="1:1" ht="15.75" customHeight="1" x14ac:dyDescent="0.25">
      <c r="A592" s="7"/>
    </row>
    <row r="593" spans="1:1" ht="15.75" customHeight="1" x14ac:dyDescent="0.25">
      <c r="A593" s="7"/>
    </row>
    <row r="594" spans="1:1" ht="15.75" customHeight="1" x14ac:dyDescent="0.25">
      <c r="A594" s="7"/>
    </row>
    <row r="595" spans="1:1" ht="15.75" customHeight="1" x14ac:dyDescent="0.25">
      <c r="A595" s="7"/>
    </row>
    <row r="596" spans="1:1" ht="15.75" customHeight="1" x14ac:dyDescent="0.25">
      <c r="A596" s="7"/>
    </row>
    <row r="597" spans="1:1" ht="15.75" customHeight="1" x14ac:dyDescent="0.25">
      <c r="A597" s="7"/>
    </row>
    <row r="598" spans="1:1" ht="15.75" customHeight="1" x14ac:dyDescent="0.25">
      <c r="A598" s="7"/>
    </row>
    <row r="599" spans="1:1" ht="15.75" customHeight="1" x14ac:dyDescent="0.25">
      <c r="A599" s="7"/>
    </row>
    <row r="600" spans="1:1" ht="15.75" customHeight="1" x14ac:dyDescent="0.25">
      <c r="A600" s="7"/>
    </row>
    <row r="601" spans="1:1" ht="15.75" customHeight="1" x14ac:dyDescent="0.25">
      <c r="A601" s="7"/>
    </row>
    <row r="602" spans="1:1" ht="15.75" customHeight="1" x14ac:dyDescent="0.25">
      <c r="A602" s="7"/>
    </row>
    <row r="603" spans="1:1" ht="15.75" customHeight="1" x14ac:dyDescent="0.25">
      <c r="A603" s="7"/>
    </row>
    <row r="604" spans="1:1" ht="15.75" customHeight="1" x14ac:dyDescent="0.25">
      <c r="A604" s="7"/>
    </row>
    <row r="605" spans="1:1" ht="15.75" customHeight="1" x14ac:dyDescent="0.25">
      <c r="A605" s="7"/>
    </row>
    <row r="606" spans="1:1" ht="15.75" customHeight="1" x14ac:dyDescent="0.25">
      <c r="A606" s="7"/>
    </row>
    <row r="607" spans="1:1" ht="15.75" customHeight="1" x14ac:dyDescent="0.25">
      <c r="A607" s="7"/>
    </row>
    <row r="608" spans="1:1" ht="15.75" customHeight="1" x14ac:dyDescent="0.25">
      <c r="A608" s="7"/>
    </row>
    <row r="609" spans="1:1" ht="15.75" customHeight="1" x14ac:dyDescent="0.25">
      <c r="A609" s="7"/>
    </row>
    <row r="610" spans="1:1" ht="15.75" customHeight="1" x14ac:dyDescent="0.25">
      <c r="A610" s="7"/>
    </row>
    <row r="611" spans="1:1" ht="15.75" customHeight="1" x14ac:dyDescent="0.25">
      <c r="A611" s="7"/>
    </row>
    <row r="612" spans="1:1" ht="15.75" customHeight="1" x14ac:dyDescent="0.25">
      <c r="A612" s="7"/>
    </row>
    <row r="613" spans="1:1" ht="15.75" customHeight="1" x14ac:dyDescent="0.25">
      <c r="A613" s="7"/>
    </row>
    <row r="614" spans="1:1" ht="15.75" customHeight="1" x14ac:dyDescent="0.25">
      <c r="A614" s="7"/>
    </row>
    <row r="615" spans="1:1" ht="15.75" customHeight="1" x14ac:dyDescent="0.25">
      <c r="A615" s="7"/>
    </row>
    <row r="616" spans="1:1" ht="15.75" customHeight="1" x14ac:dyDescent="0.25">
      <c r="A616" s="7"/>
    </row>
    <row r="617" spans="1:1" ht="15.75" customHeight="1" x14ac:dyDescent="0.25">
      <c r="A617" s="7"/>
    </row>
    <row r="618" spans="1:1" ht="15.75" customHeight="1" x14ac:dyDescent="0.25">
      <c r="A618" s="7"/>
    </row>
    <row r="619" spans="1:1" ht="15.75" customHeight="1" x14ac:dyDescent="0.25">
      <c r="A619" s="7"/>
    </row>
    <row r="620" spans="1:1" ht="15.75" customHeight="1" x14ac:dyDescent="0.25">
      <c r="A620" s="7"/>
    </row>
    <row r="621" spans="1:1" ht="15.75" customHeight="1" x14ac:dyDescent="0.25">
      <c r="A621" s="7"/>
    </row>
    <row r="622" spans="1:1" ht="15.75" customHeight="1" x14ac:dyDescent="0.25">
      <c r="A622" s="7"/>
    </row>
    <row r="623" spans="1:1" ht="15.75" customHeight="1" x14ac:dyDescent="0.25">
      <c r="A623" s="7"/>
    </row>
    <row r="624" spans="1:1" ht="15.75" customHeight="1" x14ac:dyDescent="0.25">
      <c r="A624" s="7"/>
    </row>
    <row r="625" spans="1:1" ht="15.75" customHeight="1" x14ac:dyDescent="0.25">
      <c r="A625" s="7"/>
    </row>
    <row r="626" spans="1:1" ht="15.75" customHeight="1" x14ac:dyDescent="0.25">
      <c r="A626" s="7"/>
    </row>
    <row r="627" spans="1:1" ht="15.75" customHeight="1" x14ac:dyDescent="0.25">
      <c r="A627" s="7"/>
    </row>
    <row r="628" spans="1:1" ht="15.75" customHeight="1" x14ac:dyDescent="0.25">
      <c r="A628" s="7"/>
    </row>
    <row r="629" spans="1:1" ht="15.75" customHeight="1" x14ac:dyDescent="0.25">
      <c r="A629" s="7"/>
    </row>
    <row r="630" spans="1:1" ht="15.75" customHeight="1" x14ac:dyDescent="0.25">
      <c r="A630" s="7"/>
    </row>
    <row r="631" spans="1:1" ht="15.75" customHeight="1" x14ac:dyDescent="0.25">
      <c r="A631" s="7"/>
    </row>
    <row r="632" spans="1:1" ht="15.75" customHeight="1" x14ac:dyDescent="0.25">
      <c r="A632" s="7"/>
    </row>
    <row r="633" spans="1:1" ht="15.75" customHeight="1" x14ac:dyDescent="0.25">
      <c r="A633" s="7"/>
    </row>
    <row r="634" spans="1:1" ht="15.75" customHeight="1" x14ac:dyDescent="0.25">
      <c r="A634" s="7"/>
    </row>
    <row r="635" spans="1:1" ht="15.75" customHeight="1" x14ac:dyDescent="0.25">
      <c r="A635" s="7"/>
    </row>
    <row r="636" spans="1:1" ht="15.75" customHeight="1" x14ac:dyDescent="0.25">
      <c r="A636" s="7"/>
    </row>
    <row r="637" spans="1:1" ht="15.75" customHeight="1" x14ac:dyDescent="0.25">
      <c r="A637" s="7"/>
    </row>
    <row r="638" spans="1:1" ht="15.75" customHeight="1" x14ac:dyDescent="0.25">
      <c r="A638" s="7"/>
    </row>
    <row r="639" spans="1:1" ht="15.75" customHeight="1" x14ac:dyDescent="0.25">
      <c r="A639" s="7"/>
    </row>
    <row r="640" spans="1:1" ht="15.75" customHeight="1" x14ac:dyDescent="0.25">
      <c r="A640" s="7"/>
    </row>
    <row r="641" spans="1:1" ht="15.75" customHeight="1" x14ac:dyDescent="0.25">
      <c r="A641" s="7"/>
    </row>
    <row r="642" spans="1:1" ht="15.75" customHeight="1" x14ac:dyDescent="0.25">
      <c r="A642" s="7"/>
    </row>
    <row r="643" spans="1:1" ht="15.75" customHeight="1" x14ac:dyDescent="0.25">
      <c r="A643" s="7"/>
    </row>
    <row r="644" spans="1:1" ht="15.75" customHeight="1" x14ac:dyDescent="0.25">
      <c r="A644" s="7"/>
    </row>
    <row r="645" spans="1:1" ht="15.75" customHeight="1" x14ac:dyDescent="0.25">
      <c r="A645" s="7"/>
    </row>
    <row r="646" spans="1:1" ht="15.75" customHeight="1" x14ac:dyDescent="0.25">
      <c r="A646" s="7"/>
    </row>
    <row r="647" spans="1:1" ht="15.75" customHeight="1" x14ac:dyDescent="0.25">
      <c r="A647" s="7"/>
    </row>
    <row r="648" spans="1:1" ht="15.75" customHeight="1" x14ac:dyDescent="0.25">
      <c r="A648" s="7"/>
    </row>
    <row r="649" spans="1:1" ht="15.75" customHeight="1" x14ac:dyDescent="0.25">
      <c r="A649" s="7"/>
    </row>
    <row r="650" spans="1:1" ht="15.75" customHeight="1" x14ac:dyDescent="0.25">
      <c r="A650" s="7"/>
    </row>
    <row r="651" spans="1:1" ht="15.75" customHeight="1" x14ac:dyDescent="0.25">
      <c r="A651" s="7"/>
    </row>
    <row r="652" spans="1:1" ht="15.75" customHeight="1" x14ac:dyDescent="0.25">
      <c r="A652" s="7"/>
    </row>
    <row r="653" spans="1:1" ht="15.75" customHeight="1" x14ac:dyDescent="0.25">
      <c r="A653" s="7"/>
    </row>
    <row r="654" spans="1:1" ht="15.75" customHeight="1" x14ac:dyDescent="0.25">
      <c r="A654" s="7"/>
    </row>
    <row r="655" spans="1:1" ht="15.75" customHeight="1" x14ac:dyDescent="0.25">
      <c r="A655" s="7"/>
    </row>
    <row r="656" spans="1:1" ht="15.75" customHeight="1" x14ac:dyDescent="0.25">
      <c r="A656" s="7"/>
    </row>
    <row r="657" spans="1:1" ht="15.75" customHeight="1" x14ac:dyDescent="0.25">
      <c r="A657" s="7"/>
    </row>
    <row r="658" spans="1:1" ht="15.75" customHeight="1" x14ac:dyDescent="0.25">
      <c r="A658" s="7"/>
    </row>
    <row r="659" spans="1:1" ht="15.75" customHeight="1" x14ac:dyDescent="0.25">
      <c r="A659" s="7"/>
    </row>
    <row r="660" spans="1:1" ht="15.75" customHeight="1" x14ac:dyDescent="0.25">
      <c r="A660" s="7"/>
    </row>
    <row r="661" spans="1:1" ht="15.75" customHeight="1" x14ac:dyDescent="0.25">
      <c r="A661" s="7"/>
    </row>
    <row r="662" spans="1:1" ht="15.75" customHeight="1" x14ac:dyDescent="0.25">
      <c r="A662" s="7"/>
    </row>
    <row r="663" spans="1:1" ht="15.75" customHeight="1" x14ac:dyDescent="0.25">
      <c r="A663" s="7"/>
    </row>
    <row r="664" spans="1:1" ht="15.75" customHeight="1" x14ac:dyDescent="0.25">
      <c r="A664" s="7"/>
    </row>
    <row r="665" spans="1:1" ht="15.75" customHeight="1" x14ac:dyDescent="0.25">
      <c r="A665" s="7"/>
    </row>
    <row r="666" spans="1:1" ht="15.75" customHeight="1" x14ac:dyDescent="0.25">
      <c r="A666" s="7"/>
    </row>
    <row r="667" spans="1:1" ht="15.75" customHeight="1" x14ac:dyDescent="0.25">
      <c r="A667" s="7"/>
    </row>
    <row r="668" spans="1:1" ht="15.75" customHeight="1" x14ac:dyDescent="0.25">
      <c r="A668" s="7"/>
    </row>
    <row r="669" spans="1:1" ht="15.75" customHeight="1" x14ac:dyDescent="0.25">
      <c r="A669" s="7"/>
    </row>
    <row r="670" spans="1:1" ht="15.75" customHeight="1" x14ac:dyDescent="0.25">
      <c r="A670" s="7"/>
    </row>
    <row r="671" spans="1:1" ht="15.75" customHeight="1" x14ac:dyDescent="0.25">
      <c r="A671" s="7"/>
    </row>
    <row r="672" spans="1:1" ht="15.75" customHeight="1" x14ac:dyDescent="0.25">
      <c r="A672" s="7"/>
    </row>
    <row r="673" spans="1:1" ht="15.75" customHeight="1" x14ac:dyDescent="0.25">
      <c r="A673" s="7"/>
    </row>
    <row r="674" spans="1:1" ht="15.75" customHeight="1" x14ac:dyDescent="0.25">
      <c r="A674" s="7"/>
    </row>
    <row r="675" spans="1:1" ht="15.75" customHeight="1" x14ac:dyDescent="0.25">
      <c r="A675" s="7"/>
    </row>
    <row r="676" spans="1:1" ht="15.75" customHeight="1" x14ac:dyDescent="0.25">
      <c r="A676" s="7"/>
    </row>
    <row r="677" spans="1:1" ht="15.75" customHeight="1" x14ac:dyDescent="0.25">
      <c r="A677" s="7"/>
    </row>
    <row r="678" spans="1:1" ht="15.75" customHeight="1" x14ac:dyDescent="0.25">
      <c r="A678" s="7"/>
    </row>
    <row r="679" spans="1:1" ht="15.75" customHeight="1" x14ac:dyDescent="0.25">
      <c r="A679" s="7"/>
    </row>
    <row r="680" spans="1:1" ht="15.75" customHeight="1" x14ac:dyDescent="0.25">
      <c r="A680" s="7"/>
    </row>
    <row r="681" spans="1:1" ht="15.75" customHeight="1" x14ac:dyDescent="0.25">
      <c r="A681" s="7"/>
    </row>
    <row r="682" spans="1:1" ht="15.75" customHeight="1" x14ac:dyDescent="0.25">
      <c r="A682" s="7"/>
    </row>
    <row r="683" spans="1:1" ht="15.75" customHeight="1" x14ac:dyDescent="0.25">
      <c r="A683" s="7"/>
    </row>
    <row r="684" spans="1:1" ht="15.75" customHeight="1" x14ac:dyDescent="0.25">
      <c r="A684" s="7"/>
    </row>
    <row r="685" spans="1:1" ht="15.75" customHeight="1" x14ac:dyDescent="0.25">
      <c r="A685" s="7"/>
    </row>
    <row r="686" spans="1:1" ht="15.75" customHeight="1" x14ac:dyDescent="0.25">
      <c r="A686" s="7"/>
    </row>
    <row r="687" spans="1:1" ht="15.75" customHeight="1" x14ac:dyDescent="0.25">
      <c r="A687" s="7"/>
    </row>
    <row r="688" spans="1:1" ht="15.75" customHeight="1" x14ac:dyDescent="0.25">
      <c r="A688" s="7"/>
    </row>
    <row r="689" spans="1:1" ht="15.75" customHeight="1" x14ac:dyDescent="0.25">
      <c r="A689" s="7"/>
    </row>
    <row r="690" spans="1:1" ht="15.75" customHeight="1" x14ac:dyDescent="0.25">
      <c r="A690" s="7"/>
    </row>
    <row r="691" spans="1:1" ht="15.75" customHeight="1" x14ac:dyDescent="0.25">
      <c r="A691" s="7"/>
    </row>
    <row r="692" spans="1:1" ht="15.75" customHeight="1" x14ac:dyDescent="0.25">
      <c r="A692" s="7"/>
    </row>
    <row r="693" spans="1:1" ht="15.75" customHeight="1" x14ac:dyDescent="0.25">
      <c r="A693" s="7"/>
    </row>
    <row r="694" spans="1:1" ht="15.75" customHeight="1" x14ac:dyDescent="0.25">
      <c r="A694" s="7"/>
    </row>
    <row r="695" spans="1:1" ht="15.75" customHeight="1" x14ac:dyDescent="0.25">
      <c r="A695" s="7"/>
    </row>
    <row r="696" spans="1:1" ht="15.75" customHeight="1" x14ac:dyDescent="0.25">
      <c r="A696" s="7"/>
    </row>
    <row r="697" spans="1:1" ht="15.75" customHeight="1" x14ac:dyDescent="0.25">
      <c r="A697" s="7"/>
    </row>
    <row r="698" spans="1:1" ht="15.75" customHeight="1" x14ac:dyDescent="0.25">
      <c r="A698" s="7"/>
    </row>
    <row r="699" spans="1:1" ht="15.75" customHeight="1" x14ac:dyDescent="0.25">
      <c r="A699" s="7"/>
    </row>
    <row r="700" spans="1:1" ht="15.75" customHeight="1" x14ac:dyDescent="0.25">
      <c r="A700" s="7"/>
    </row>
    <row r="701" spans="1:1" ht="15.75" customHeight="1" x14ac:dyDescent="0.25">
      <c r="A701" s="7"/>
    </row>
    <row r="702" spans="1:1" ht="15.75" customHeight="1" x14ac:dyDescent="0.25">
      <c r="A702" s="7"/>
    </row>
    <row r="703" spans="1:1" ht="15.75" customHeight="1" x14ac:dyDescent="0.25">
      <c r="A703" s="7"/>
    </row>
    <row r="704" spans="1:1" ht="15.75" customHeight="1" x14ac:dyDescent="0.25">
      <c r="A704" s="7"/>
    </row>
    <row r="705" spans="1:1" ht="15.75" customHeight="1" x14ac:dyDescent="0.25">
      <c r="A705" s="7"/>
    </row>
    <row r="706" spans="1:1" ht="15.75" customHeight="1" x14ac:dyDescent="0.25">
      <c r="A706" s="7"/>
    </row>
    <row r="707" spans="1:1" ht="15.75" customHeight="1" x14ac:dyDescent="0.25">
      <c r="A707" s="7"/>
    </row>
    <row r="708" spans="1:1" ht="15.75" customHeight="1" x14ac:dyDescent="0.25">
      <c r="A708" s="7"/>
    </row>
    <row r="709" spans="1:1" ht="15.75" customHeight="1" x14ac:dyDescent="0.25">
      <c r="A709" s="7"/>
    </row>
    <row r="710" spans="1:1" ht="15.75" customHeight="1" x14ac:dyDescent="0.25">
      <c r="A710" s="7"/>
    </row>
    <row r="711" spans="1:1" ht="15.75" customHeight="1" x14ac:dyDescent="0.25">
      <c r="A711" s="7"/>
    </row>
    <row r="712" spans="1:1" ht="15.75" customHeight="1" x14ac:dyDescent="0.25">
      <c r="A712" s="7"/>
    </row>
    <row r="713" spans="1:1" ht="15.75" customHeight="1" x14ac:dyDescent="0.25">
      <c r="A713" s="7"/>
    </row>
    <row r="714" spans="1:1" ht="15.75" customHeight="1" x14ac:dyDescent="0.25">
      <c r="A714" s="7"/>
    </row>
    <row r="715" spans="1:1" ht="15.75" customHeight="1" x14ac:dyDescent="0.25">
      <c r="A715" s="7"/>
    </row>
    <row r="716" spans="1:1" ht="15.75" customHeight="1" x14ac:dyDescent="0.25">
      <c r="A716" s="7"/>
    </row>
    <row r="717" spans="1:1" ht="15.75" customHeight="1" x14ac:dyDescent="0.25">
      <c r="A717" s="7"/>
    </row>
    <row r="718" spans="1:1" ht="15.75" customHeight="1" x14ac:dyDescent="0.25">
      <c r="A718" s="7"/>
    </row>
    <row r="719" spans="1:1" ht="15.75" customHeight="1" x14ac:dyDescent="0.25">
      <c r="A719" s="7"/>
    </row>
    <row r="720" spans="1:1" ht="15.75" customHeight="1" x14ac:dyDescent="0.25">
      <c r="A720" s="7"/>
    </row>
    <row r="721" spans="1:1" ht="15.75" customHeight="1" x14ac:dyDescent="0.25">
      <c r="A721" s="7"/>
    </row>
    <row r="722" spans="1:1" ht="15.75" customHeight="1" x14ac:dyDescent="0.25">
      <c r="A722" s="7"/>
    </row>
    <row r="723" spans="1:1" ht="15.75" customHeight="1" x14ac:dyDescent="0.25">
      <c r="A723" s="7"/>
    </row>
    <row r="724" spans="1:1" ht="15.75" customHeight="1" x14ac:dyDescent="0.25">
      <c r="A724" s="7"/>
    </row>
    <row r="725" spans="1:1" ht="15.75" customHeight="1" x14ac:dyDescent="0.25">
      <c r="A725" s="7"/>
    </row>
    <row r="726" spans="1:1" ht="15.75" customHeight="1" x14ac:dyDescent="0.25">
      <c r="A726" s="7"/>
    </row>
    <row r="727" spans="1:1" ht="15.75" customHeight="1" x14ac:dyDescent="0.25">
      <c r="A727" s="7"/>
    </row>
    <row r="728" spans="1:1" ht="15.75" customHeight="1" x14ac:dyDescent="0.25">
      <c r="A728" s="7"/>
    </row>
    <row r="729" spans="1:1" ht="15.75" customHeight="1" x14ac:dyDescent="0.25">
      <c r="A729" s="7"/>
    </row>
    <row r="730" spans="1:1" ht="15.75" customHeight="1" x14ac:dyDescent="0.25">
      <c r="A730" s="7"/>
    </row>
    <row r="731" spans="1:1" ht="15.75" customHeight="1" x14ac:dyDescent="0.25">
      <c r="A731" s="7"/>
    </row>
    <row r="732" spans="1:1" ht="15.75" customHeight="1" x14ac:dyDescent="0.25">
      <c r="A732" s="7"/>
    </row>
    <row r="733" spans="1:1" ht="15.75" customHeight="1" x14ac:dyDescent="0.25">
      <c r="A733" s="7"/>
    </row>
    <row r="734" spans="1:1" ht="15.75" customHeight="1" x14ac:dyDescent="0.25">
      <c r="A734" s="7"/>
    </row>
    <row r="735" spans="1:1" ht="15.75" customHeight="1" x14ac:dyDescent="0.25">
      <c r="A735" s="7"/>
    </row>
    <row r="736" spans="1:1" ht="15.75" customHeight="1" x14ac:dyDescent="0.25">
      <c r="A736" s="7"/>
    </row>
    <row r="737" spans="1:1" ht="15.75" customHeight="1" x14ac:dyDescent="0.25">
      <c r="A737" s="7"/>
    </row>
    <row r="738" spans="1:1" ht="15.75" customHeight="1" x14ac:dyDescent="0.25">
      <c r="A738" s="7"/>
    </row>
    <row r="739" spans="1:1" ht="15.75" customHeight="1" x14ac:dyDescent="0.25">
      <c r="A739" s="7"/>
    </row>
    <row r="740" spans="1:1" ht="15.75" customHeight="1" x14ac:dyDescent="0.25">
      <c r="A740" s="7"/>
    </row>
    <row r="741" spans="1:1" ht="15.75" customHeight="1" x14ac:dyDescent="0.25">
      <c r="A741" s="7"/>
    </row>
    <row r="742" spans="1:1" ht="15.75" customHeight="1" x14ac:dyDescent="0.25">
      <c r="A742" s="7"/>
    </row>
    <row r="743" spans="1:1" ht="15.75" customHeight="1" x14ac:dyDescent="0.25">
      <c r="A743" s="7"/>
    </row>
    <row r="744" spans="1:1" ht="15.75" customHeight="1" x14ac:dyDescent="0.25">
      <c r="A744" s="7"/>
    </row>
    <row r="745" spans="1:1" ht="15.75" customHeight="1" x14ac:dyDescent="0.25">
      <c r="A745" s="7"/>
    </row>
    <row r="746" spans="1:1" ht="15.75" customHeight="1" x14ac:dyDescent="0.25">
      <c r="A746" s="7"/>
    </row>
    <row r="747" spans="1:1" ht="15.75" customHeight="1" x14ac:dyDescent="0.25">
      <c r="A747" s="7"/>
    </row>
    <row r="748" spans="1:1" ht="15.75" customHeight="1" x14ac:dyDescent="0.25">
      <c r="A748" s="7"/>
    </row>
    <row r="749" spans="1:1" ht="15.75" customHeight="1" x14ac:dyDescent="0.25">
      <c r="A749" s="7"/>
    </row>
    <row r="750" spans="1:1" ht="15.75" customHeight="1" x14ac:dyDescent="0.25">
      <c r="A750" s="7"/>
    </row>
    <row r="751" spans="1:1" ht="15.75" customHeight="1" x14ac:dyDescent="0.25">
      <c r="A751" s="7"/>
    </row>
    <row r="752" spans="1:1" ht="15.75" customHeight="1" x14ac:dyDescent="0.25">
      <c r="A752" s="7"/>
    </row>
    <row r="753" spans="1:1" ht="15.75" customHeight="1" x14ac:dyDescent="0.25">
      <c r="A753" s="7"/>
    </row>
    <row r="754" spans="1:1" ht="15.75" customHeight="1" x14ac:dyDescent="0.25">
      <c r="A754" s="7"/>
    </row>
    <row r="755" spans="1:1" ht="15.75" customHeight="1" x14ac:dyDescent="0.25">
      <c r="A755" s="7"/>
    </row>
    <row r="756" spans="1:1" ht="15.75" customHeight="1" x14ac:dyDescent="0.25">
      <c r="A756" s="7"/>
    </row>
    <row r="757" spans="1:1" ht="15.75" customHeight="1" x14ac:dyDescent="0.25">
      <c r="A757" s="7"/>
    </row>
    <row r="758" spans="1:1" ht="15.75" customHeight="1" x14ac:dyDescent="0.25">
      <c r="A758" s="7"/>
    </row>
    <row r="759" spans="1:1" ht="15.75" customHeight="1" x14ac:dyDescent="0.25">
      <c r="A759" s="7"/>
    </row>
    <row r="760" spans="1:1" ht="15.75" customHeight="1" x14ac:dyDescent="0.25">
      <c r="A760" s="7"/>
    </row>
    <row r="761" spans="1:1" ht="15.75" customHeight="1" x14ac:dyDescent="0.25">
      <c r="A761" s="7"/>
    </row>
    <row r="762" spans="1:1" ht="15.75" customHeight="1" x14ac:dyDescent="0.25">
      <c r="A762" s="7"/>
    </row>
    <row r="763" spans="1:1" ht="15.75" customHeight="1" x14ac:dyDescent="0.25">
      <c r="A763" s="7"/>
    </row>
    <row r="764" spans="1:1" ht="15.75" customHeight="1" x14ac:dyDescent="0.25">
      <c r="A764" s="7"/>
    </row>
    <row r="765" spans="1:1" ht="15.75" customHeight="1" x14ac:dyDescent="0.25">
      <c r="A765" s="7"/>
    </row>
    <row r="766" spans="1:1" ht="15.75" customHeight="1" x14ac:dyDescent="0.25">
      <c r="A766" s="7"/>
    </row>
    <row r="767" spans="1:1" ht="15.75" customHeight="1" x14ac:dyDescent="0.25">
      <c r="A767" s="7"/>
    </row>
    <row r="768" spans="1:1" ht="15.75" customHeight="1" x14ac:dyDescent="0.25">
      <c r="A768" s="7"/>
    </row>
    <row r="769" spans="1:1" ht="15.75" customHeight="1" x14ac:dyDescent="0.25">
      <c r="A769" s="7"/>
    </row>
    <row r="770" spans="1:1" ht="15.75" customHeight="1" x14ac:dyDescent="0.25">
      <c r="A770" s="7"/>
    </row>
    <row r="771" spans="1:1" ht="15.75" customHeight="1" x14ac:dyDescent="0.25">
      <c r="A771" s="7"/>
    </row>
    <row r="772" spans="1:1" ht="15.75" customHeight="1" x14ac:dyDescent="0.25">
      <c r="A772" s="7"/>
    </row>
    <row r="773" spans="1:1" ht="15.75" customHeight="1" x14ac:dyDescent="0.25">
      <c r="A773" s="7"/>
    </row>
    <row r="774" spans="1:1" ht="15.75" customHeight="1" x14ac:dyDescent="0.25">
      <c r="A774" s="7"/>
    </row>
    <row r="775" spans="1:1" ht="15.75" customHeight="1" x14ac:dyDescent="0.25">
      <c r="A775" s="7"/>
    </row>
    <row r="776" spans="1:1" ht="15.75" customHeight="1" x14ac:dyDescent="0.25">
      <c r="A776" s="7"/>
    </row>
    <row r="777" spans="1:1" ht="15.75" customHeight="1" x14ac:dyDescent="0.25">
      <c r="A777" s="7"/>
    </row>
    <row r="778" spans="1:1" ht="15.75" customHeight="1" x14ac:dyDescent="0.25">
      <c r="A778" s="7"/>
    </row>
    <row r="779" spans="1:1" ht="15.75" customHeight="1" x14ac:dyDescent="0.25">
      <c r="A779" s="7"/>
    </row>
    <row r="780" spans="1:1" ht="15.75" customHeight="1" x14ac:dyDescent="0.25">
      <c r="A780" s="7"/>
    </row>
    <row r="781" spans="1:1" ht="15.75" customHeight="1" x14ac:dyDescent="0.25">
      <c r="A781" s="7"/>
    </row>
    <row r="782" spans="1:1" ht="15.75" customHeight="1" x14ac:dyDescent="0.25">
      <c r="A782" s="7"/>
    </row>
    <row r="783" spans="1:1" ht="15.75" customHeight="1" x14ac:dyDescent="0.25">
      <c r="A783" s="7"/>
    </row>
    <row r="784" spans="1:1" ht="15.75" customHeight="1" x14ac:dyDescent="0.25">
      <c r="A784" s="7"/>
    </row>
    <row r="785" spans="1:1" ht="15.75" customHeight="1" x14ac:dyDescent="0.25">
      <c r="A785" s="7"/>
    </row>
    <row r="786" spans="1:1" ht="15.75" customHeight="1" x14ac:dyDescent="0.25">
      <c r="A786" s="7"/>
    </row>
    <row r="787" spans="1:1" ht="15.75" customHeight="1" x14ac:dyDescent="0.25">
      <c r="A787" s="7"/>
    </row>
    <row r="788" spans="1:1" ht="15.75" customHeight="1" x14ac:dyDescent="0.25">
      <c r="A788" s="7"/>
    </row>
    <row r="789" spans="1:1" ht="15.75" customHeight="1" x14ac:dyDescent="0.25">
      <c r="A789" s="7"/>
    </row>
    <row r="790" spans="1:1" ht="15.75" customHeight="1" x14ac:dyDescent="0.25">
      <c r="A790" s="7"/>
    </row>
    <row r="791" spans="1:1" ht="15.75" customHeight="1" x14ac:dyDescent="0.25">
      <c r="A791" s="7"/>
    </row>
    <row r="792" spans="1:1" ht="15.75" customHeight="1" x14ac:dyDescent="0.25">
      <c r="A792" s="7"/>
    </row>
    <row r="793" spans="1:1" ht="15.75" customHeight="1" x14ac:dyDescent="0.25">
      <c r="A793" s="7"/>
    </row>
    <row r="794" spans="1:1" ht="15.75" customHeight="1" x14ac:dyDescent="0.25">
      <c r="A794" s="7"/>
    </row>
    <row r="795" spans="1:1" ht="15.75" customHeight="1" x14ac:dyDescent="0.25">
      <c r="A795" s="7"/>
    </row>
    <row r="796" spans="1:1" ht="15.75" customHeight="1" x14ac:dyDescent="0.25">
      <c r="A796" s="7"/>
    </row>
    <row r="797" spans="1:1" ht="15.75" customHeight="1" x14ac:dyDescent="0.25">
      <c r="A797" s="7"/>
    </row>
    <row r="798" spans="1:1" ht="15.75" customHeight="1" x14ac:dyDescent="0.25">
      <c r="A798" s="7"/>
    </row>
    <row r="799" spans="1:1" ht="15.75" customHeight="1" x14ac:dyDescent="0.25">
      <c r="A799" s="7"/>
    </row>
    <row r="800" spans="1:1" ht="15.75" customHeight="1" x14ac:dyDescent="0.25">
      <c r="A800" s="7"/>
    </row>
    <row r="801" spans="1:1" ht="15.75" customHeight="1" x14ac:dyDescent="0.25">
      <c r="A801" s="7"/>
    </row>
    <row r="802" spans="1:1" ht="15.75" customHeight="1" x14ac:dyDescent="0.25">
      <c r="A802" s="7"/>
    </row>
    <row r="803" spans="1:1" ht="15.75" customHeight="1" x14ac:dyDescent="0.25">
      <c r="A803" s="7"/>
    </row>
    <row r="804" spans="1:1" ht="15.75" customHeight="1" x14ac:dyDescent="0.25">
      <c r="A804" s="7"/>
    </row>
    <row r="805" spans="1:1" ht="15.75" customHeight="1" x14ac:dyDescent="0.25">
      <c r="A805" s="7"/>
    </row>
    <row r="806" spans="1:1" ht="15.75" customHeight="1" x14ac:dyDescent="0.25">
      <c r="A806" s="7"/>
    </row>
    <row r="807" spans="1:1" ht="15.75" customHeight="1" x14ac:dyDescent="0.25">
      <c r="A807" s="7"/>
    </row>
    <row r="808" spans="1:1" ht="15.75" customHeight="1" x14ac:dyDescent="0.25">
      <c r="A808" s="7"/>
    </row>
    <row r="809" spans="1:1" ht="15.75" customHeight="1" x14ac:dyDescent="0.25">
      <c r="A809" s="7"/>
    </row>
    <row r="810" spans="1:1" ht="15.75" customHeight="1" x14ac:dyDescent="0.25">
      <c r="A810" s="7"/>
    </row>
    <row r="811" spans="1:1" ht="15.75" customHeight="1" x14ac:dyDescent="0.25">
      <c r="A811" s="7"/>
    </row>
    <row r="812" spans="1:1" ht="15.75" customHeight="1" x14ac:dyDescent="0.25">
      <c r="A812" s="7"/>
    </row>
    <row r="813" spans="1:1" ht="15.75" customHeight="1" x14ac:dyDescent="0.25">
      <c r="A813" s="7"/>
    </row>
    <row r="814" spans="1:1" ht="15.75" customHeight="1" x14ac:dyDescent="0.25">
      <c r="A814" s="7"/>
    </row>
    <row r="815" spans="1:1" ht="15.75" customHeight="1" x14ac:dyDescent="0.25">
      <c r="A815" s="7"/>
    </row>
    <row r="816" spans="1:1" ht="15.75" customHeight="1" x14ac:dyDescent="0.25">
      <c r="A816" s="7"/>
    </row>
    <row r="817" spans="1:1" ht="15.75" customHeight="1" x14ac:dyDescent="0.25">
      <c r="A817" s="7"/>
    </row>
    <row r="818" spans="1:1" ht="15.75" customHeight="1" x14ac:dyDescent="0.25">
      <c r="A818" s="7"/>
    </row>
    <row r="819" spans="1:1" ht="15.75" customHeight="1" x14ac:dyDescent="0.25">
      <c r="A819" s="7"/>
    </row>
    <row r="820" spans="1:1" ht="15.75" customHeight="1" x14ac:dyDescent="0.25">
      <c r="A820" s="7"/>
    </row>
    <row r="821" spans="1:1" ht="15.75" customHeight="1" x14ac:dyDescent="0.25">
      <c r="A821" s="7"/>
    </row>
    <row r="822" spans="1:1" ht="15.75" customHeight="1" x14ac:dyDescent="0.25">
      <c r="A822" s="7"/>
    </row>
    <row r="823" spans="1:1" ht="15.75" customHeight="1" x14ac:dyDescent="0.25">
      <c r="A823" s="7"/>
    </row>
    <row r="824" spans="1:1" ht="15.75" customHeight="1" x14ac:dyDescent="0.25">
      <c r="A824" s="7"/>
    </row>
    <row r="825" spans="1:1" ht="15.75" customHeight="1" x14ac:dyDescent="0.25">
      <c r="A825" s="7"/>
    </row>
    <row r="826" spans="1:1" ht="15.75" customHeight="1" x14ac:dyDescent="0.25">
      <c r="A826" s="7"/>
    </row>
    <row r="827" spans="1:1" ht="15.75" customHeight="1" x14ac:dyDescent="0.25">
      <c r="A827" s="7"/>
    </row>
    <row r="828" spans="1:1" ht="15.75" customHeight="1" x14ac:dyDescent="0.25">
      <c r="A828" s="7"/>
    </row>
    <row r="829" spans="1:1" ht="15.75" customHeight="1" x14ac:dyDescent="0.25">
      <c r="A829" s="7"/>
    </row>
    <row r="830" spans="1:1" ht="15.75" customHeight="1" x14ac:dyDescent="0.25">
      <c r="A830" s="7"/>
    </row>
    <row r="831" spans="1:1" ht="15.75" customHeight="1" x14ac:dyDescent="0.25">
      <c r="A831" s="7"/>
    </row>
    <row r="832" spans="1:1" ht="15.75" customHeight="1" x14ac:dyDescent="0.25">
      <c r="A832" s="7"/>
    </row>
    <row r="833" spans="1:1" ht="15.75" customHeight="1" x14ac:dyDescent="0.25">
      <c r="A833" s="7"/>
    </row>
    <row r="834" spans="1:1" ht="15.75" customHeight="1" x14ac:dyDescent="0.25">
      <c r="A834" s="7"/>
    </row>
    <row r="835" spans="1:1" ht="15.75" customHeight="1" x14ac:dyDescent="0.25">
      <c r="A835" s="7"/>
    </row>
    <row r="836" spans="1:1" ht="15.75" customHeight="1" x14ac:dyDescent="0.25">
      <c r="A836" s="7"/>
    </row>
    <row r="837" spans="1:1" ht="15.75" customHeight="1" x14ac:dyDescent="0.25">
      <c r="A837" s="7"/>
    </row>
    <row r="838" spans="1:1" ht="15.75" customHeight="1" x14ac:dyDescent="0.25">
      <c r="A838" s="7"/>
    </row>
    <row r="839" spans="1:1" ht="15.75" customHeight="1" x14ac:dyDescent="0.25">
      <c r="A839" s="7"/>
    </row>
    <row r="840" spans="1:1" ht="15.75" customHeight="1" x14ac:dyDescent="0.25">
      <c r="A840" s="7"/>
    </row>
    <row r="841" spans="1:1" ht="15.75" customHeight="1" x14ac:dyDescent="0.25">
      <c r="A841" s="7"/>
    </row>
    <row r="842" spans="1:1" ht="15.75" customHeight="1" x14ac:dyDescent="0.25">
      <c r="A842" s="7"/>
    </row>
    <row r="843" spans="1:1" ht="15.75" customHeight="1" x14ac:dyDescent="0.25">
      <c r="A843" s="7"/>
    </row>
    <row r="844" spans="1:1" ht="15.75" customHeight="1" x14ac:dyDescent="0.25">
      <c r="A844" s="7"/>
    </row>
    <row r="845" spans="1:1" ht="15.75" customHeight="1" x14ac:dyDescent="0.25">
      <c r="A845" s="7"/>
    </row>
    <row r="846" spans="1:1" ht="15.75" customHeight="1" x14ac:dyDescent="0.25">
      <c r="A846" s="7"/>
    </row>
    <row r="847" spans="1:1" ht="15.75" customHeight="1" x14ac:dyDescent="0.25">
      <c r="A847" s="7"/>
    </row>
    <row r="848" spans="1:1" ht="15.75" customHeight="1" x14ac:dyDescent="0.25">
      <c r="A848" s="7"/>
    </row>
    <row r="849" spans="1:1" ht="15.75" customHeight="1" x14ac:dyDescent="0.25">
      <c r="A849" s="7"/>
    </row>
    <row r="850" spans="1:1" ht="15.75" customHeight="1" x14ac:dyDescent="0.25">
      <c r="A850" s="7"/>
    </row>
    <row r="851" spans="1:1" ht="15.75" customHeight="1" x14ac:dyDescent="0.25">
      <c r="A851" s="7"/>
    </row>
    <row r="852" spans="1:1" ht="15.75" customHeight="1" x14ac:dyDescent="0.25">
      <c r="A852" s="7"/>
    </row>
    <row r="853" spans="1:1" ht="15.75" customHeight="1" x14ac:dyDescent="0.25">
      <c r="A853" s="7"/>
    </row>
    <row r="854" spans="1:1" ht="15.75" customHeight="1" x14ac:dyDescent="0.25">
      <c r="A854" s="7"/>
    </row>
    <row r="855" spans="1:1" ht="15.75" customHeight="1" x14ac:dyDescent="0.25">
      <c r="A855" s="7"/>
    </row>
    <row r="856" spans="1:1" ht="15.75" customHeight="1" x14ac:dyDescent="0.25">
      <c r="A856" s="7"/>
    </row>
    <row r="857" spans="1:1" ht="15.75" customHeight="1" x14ac:dyDescent="0.25">
      <c r="A857" s="7"/>
    </row>
    <row r="858" spans="1:1" ht="15.75" customHeight="1" x14ac:dyDescent="0.25">
      <c r="A858" s="7"/>
    </row>
    <row r="859" spans="1:1" ht="15.75" customHeight="1" x14ac:dyDescent="0.25">
      <c r="A859" s="7"/>
    </row>
    <row r="860" spans="1:1" ht="15.75" customHeight="1" x14ac:dyDescent="0.25">
      <c r="A860" s="7"/>
    </row>
    <row r="861" spans="1:1" ht="15.75" customHeight="1" x14ac:dyDescent="0.25">
      <c r="A861" s="7"/>
    </row>
    <row r="862" spans="1:1" ht="15.75" customHeight="1" x14ac:dyDescent="0.25">
      <c r="A862" s="7"/>
    </row>
    <row r="863" spans="1:1" ht="15.75" customHeight="1" x14ac:dyDescent="0.25">
      <c r="A863" s="7"/>
    </row>
    <row r="864" spans="1:1" ht="15.75" customHeight="1" x14ac:dyDescent="0.25">
      <c r="A864" s="7"/>
    </row>
    <row r="865" spans="1:1" ht="15.75" customHeight="1" x14ac:dyDescent="0.25">
      <c r="A865" s="7"/>
    </row>
    <row r="866" spans="1:1" ht="15.75" customHeight="1" x14ac:dyDescent="0.25">
      <c r="A866" s="7"/>
    </row>
    <row r="867" spans="1:1" ht="15.75" customHeight="1" x14ac:dyDescent="0.25">
      <c r="A867" s="7"/>
    </row>
    <row r="868" spans="1:1" ht="15.75" customHeight="1" x14ac:dyDescent="0.25">
      <c r="A868" s="7"/>
    </row>
    <row r="869" spans="1:1" ht="15.75" customHeight="1" x14ac:dyDescent="0.25">
      <c r="A869" s="7"/>
    </row>
    <row r="870" spans="1:1" ht="15.75" customHeight="1" x14ac:dyDescent="0.25">
      <c r="A870" s="7"/>
    </row>
    <row r="871" spans="1:1" ht="15.75" customHeight="1" x14ac:dyDescent="0.25">
      <c r="A871" s="7"/>
    </row>
    <row r="872" spans="1:1" ht="15.75" customHeight="1" x14ac:dyDescent="0.25">
      <c r="A872" s="7"/>
    </row>
    <row r="873" spans="1:1" ht="15.75" customHeight="1" x14ac:dyDescent="0.25">
      <c r="A873" s="7"/>
    </row>
    <row r="874" spans="1:1" ht="15.75" customHeight="1" x14ac:dyDescent="0.25">
      <c r="A874" s="7"/>
    </row>
    <row r="875" spans="1:1" ht="15.75" customHeight="1" x14ac:dyDescent="0.25">
      <c r="A875" s="7"/>
    </row>
    <row r="876" spans="1:1" ht="15.75" customHeight="1" x14ac:dyDescent="0.25">
      <c r="A876" s="7"/>
    </row>
    <row r="877" spans="1:1" ht="15.75" customHeight="1" x14ac:dyDescent="0.25">
      <c r="A877" s="7"/>
    </row>
    <row r="878" spans="1:1" ht="15.75" customHeight="1" x14ac:dyDescent="0.25">
      <c r="A878" s="7"/>
    </row>
    <row r="879" spans="1:1" ht="15.75" customHeight="1" x14ac:dyDescent="0.25">
      <c r="A879" s="7"/>
    </row>
    <row r="880" spans="1:1" ht="15.75" customHeight="1" x14ac:dyDescent="0.25">
      <c r="A880" s="7"/>
    </row>
    <row r="881" spans="1:1" ht="15.75" customHeight="1" x14ac:dyDescent="0.25">
      <c r="A881" s="7"/>
    </row>
    <row r="882" spans="1:1" ht="15.75" customHeight="1" x14ac:dyDescent="0.25">
      <c r="A882" s="7"/>
    </row>
    <row r="883" spans="1:1" ht="15.75" customHeight="1" x14ac:dyDescent="0.25">
      <c r="A883" s="7"/>
    </row>
    <row r="884" spans="1:1" ht="15.75" customHeight="1" x14ac:dyDescent="0.25">
      <c r="A884" s="7"/>
    </row>
    <row r="885" spans="1:1" ht="15.75" customHeight="1" x14ac:dyDescent="0.25">
      <c r="A885" s="7"/>
    </row>
    <row r="886" spans="1:1" ht="15.75" customHeight="1" x14ac:dyDescent="0.25">
      <c r="A886" s="7"/>
    </row>
    <row r="887" spans="1:1" ht="15.75" customHeight="1" x14ac:dyDescent="0.25">
      <c r="A887" s="7"/>
    </row>
    <row r="888" spans="1:1" ht="15.75" customHeight="1" x14ac:dyDescent="0.25">
      <c r="A888" s="7"/>
    </row>
    <row r="889" spans="1:1" ht="15.75" customHeight="1" x14ac:dyDescent="0.25">
      <c r="A889" s="7"/>
    </row>
    <row r="890" spans="1:1" ht="15.75" customHeight="1" x14ac:dyDescent="0.25">
      <c r="A890" s="7"/>
    </row>
    <row r="891" spans="1:1" ht="15.75" customHeight="1" x14ac:dyDescent="0.25">
      <c r="A891" s="7"/>
    </row>
    <row r="892" spans="1:1" ht="15.75" customHeight="1" x14ac:dyDescent="0.25">
      <c r="A892" s="7"/>
    </row>
    <row r="893" spans="1:1" ht="15.75" customHeight="1" x14ac:dyDescent="0.25">
      <c r="A893" s="7"/>
    </row>
    <row r="894" spans="1:1" ht="15.75" customHeight="1" x14ac:dyDescent="0.25">
      <c r="A894" s="7"/>
    </row>
    <row r="895" spans="1:1" ht="15.75" customHeight="1" x14ac:dyDescent="0.25">
      <c r="A895" s="7"/>
    </row>
    <row r="896" spans="1:1" ht="15.75" customHeight="1" x14ac:dyDescent="0.25">
      <c r="A896" s="7"/>
    </row>
    <row r="897" spans="1:1" ht="15.75" customHeight="1" x14ac:dyDescent="0.25">
      <c r="A897" s="7"/>
    </row>
    <row r="898" spans="1:1" ht="15.75" customHeight="1" x14ac:dyDescent="0.25">
      <c r="A898" s="7"/>
    </row>
    <row r="899" spans="1:1" ht="15.75" customHeight="1" x14ac:dyDescent="0.25">
      <c r="A899" s="7"/>
    </row>
    <row r="900" spans="1:1" ht="15.75" customHeight="1" x14ac:dyDescent="0.25">
      <c r="A900" s="7"/>
    </row>
    <row r="901" spans="1:1" ht="15.75" customHeight="1" x14ac:dyDescent="0.25">
      <c r="A901" s="7"/>
    </row>
    <row r="902" spans="1:1" ht="15.75" customHeight="1" x14ac:dyDescent="0.25">
      <c r="A902" s="7"/>
    </row>
    <row r="903" spans="1:1" ht="15.75" customHeight="1" x14ac:dyDescent="0.25">
      <c r="A903" s="7"/>
    </row>
    <row r="904" spans="1:1" ht="15.75" customHeight="1" x14ac:dyDescent="0.25">
      <c r="A904" s="7"/>
    </row>
    <row r="905" spans="1:1" ht="15.75" customHeight="1" x14ac:dyDescent="0.25">
      <c r="A905" s="7"/>
    </row>
    <row r="906" spans="1:1" ht="15.75" customHeight="1" x14ac:dyDescent="0.25">
      <c r="A906" s="7"/>
    </row>
    <row r="907" spans="1:1" ht="15.75" customHeight="1" x14ac:dyDescent="0.25">
      <c r="A907" s="7"/>
    </row>
    <row r="908" spans="1:1" ht="15.75" customHeight="1" x14ac:dyDescent="0.25">
      <c r="A908" s="7"/>
    </row>
    <row r="909" spans="1:1" ht="15.75" customHeight="1" x14ac:dyDescent="0.25">
      <c r="A909" s="7"/>
    </row>
    <row r="910" spans="1:1" ht="15.75" customHeight="1" x14ac:dyDescent="0.25">
      <c r="A910" s="7"/>
    </row>
    <row r="911" spans="1:1" ht="15.75" customHeight="1" x14ac:dyDescent="0.25">
      <c r="A911" s="7"/>
    </row>
    <row r="912" spans="1:1" ht="15.75" customHeight="1" x14ac:dyDescent="0.25">
      <c r="A912" s="7"/>
    </row>
    <row r="913" spans="1:1" ht="15.75" customHeight="1" x14ac:dyDescent="0.25">
      <c r="A913" s="7"/>
    </row>
    <row r="914" spans="1:1" ht="15.75" customHeight="1" x14ac:dyDescent="0.25">
      <c r="A914" s="7"/>
    </row>
    <row r="915" spans="1:1" ht="15.75" customHeight="1" x14ac:dyDescent="0.25">
      <c r="A915" s="7"/>
    </row>
    <row r="916" spans="1:1" ht="15.75" customHeight="1" x14ac:dyDescent="0.25">
      <c r="A916" s="7"/>
    </row>
    <row r="917" spans="1:1" ht="15.75" customHeight="1" x14ac:dyDescent="0.25">
      <c r="A917" s="7"/>
    </row>
    <row r="918" spans="1:1" ht="15.75" customHeight="1" x14ac:dyDescent="0.25">
      <c r="A918" s="7"/>
    </row>
    <row r="919" spans="1:1" ht="15.75" customHeight="1" x14ac:dyDescent="0.25">
      <c r="A919" s="7"/>
    </row>
    <row r="920" spans="1:1" ht="15.75" customHeight="1" x14ac:dyDescent="0.25">
      <c r="A920" s="7"/>
    </row>
    <row r="921" spans="1:1" ht="15.75" customHeight="1" x14ac:dyDescent="0.25">
      <c r="A921" s="7"/>
    </row>
    <row r="922" spans="1:1" ht="15.75" customHeight="1" x14ac:dyDescent="0.25">
      <c r="A922" s="7"/>
    </row>
    <row r="923" spans="1:1" ht="15.75" customHeight="1" x14ac:dyDescent="0.25">
      <c r="A923" s="7"/>
    </row>
    <row r="924" spans="1:1" ht="15.75" customHeight="1" x14ac:dyDescent="0.25">
      <c r="A924" s="7"/>
    </row>
    <row r="925" spans="1:1" ht="15.75" customHeight="1" x14ac:dyDescent="0.25">
      <c r="A925" s="7"/>
    </row>
    <row r="926" spans="1:1" ht="15.75" customHeight="1" x14ac:dyDescent="0.25">
      <c r="A926" s="7"/>
    </row>
    <row r="927" spans="1:1" ht="15.75" customHeight="1" x14ac:dyDescent="0.25">
      <c r="A927" s="7"/>
    </row>
    <row r="928" spans="1:1" ht="15.75" customHeight="1" x14ac:dyDescent="0.25">
      <c r="A928" s="7"/>
    </row>
    <row r="929" spans="1:1" ht="15.75" customHeight="1" x14ac:dyDescent="0.25">
      <c r="A929" s="7"/>
    </row>
    <row r="930" spans="1:1" ht="15.75" customHeight="1" x14ac:dyDescent="0.25">
      <c r="A930" s="7"/>
    </row>
    <row r="931" spans="1:1" ht="15.75" customHeight="1" x14ac:dyDescent="0.25">
      <c r="A931" s="7"/>
    </row>
    <row r="932" spans="1:1" ht="15.75" customHeight="1" x14ac:dyDescent="0.25">
      <c r="A932" s="7"/>
    </row>
    <row r="933" spans="1:1" ht="15.75" customHeight="1" x14ac:dyDescent="0.25">
      <c r="A933" s="7"/>
    </row>
    <row r="934" spans="1:1" ht="15.75" customHeight="1" x14ac:dyDescent="0.25">
      <c r="A934" s="7"/>
    </row>
    <row r="935" spans="1:1" ht="15.75" customHeight="1" x14ac:dyDescent="0.25">
      <c r="A935" s="7"/>
    </row>
    <row r="936" spans="1:1" ht="15.75" customHeight="1" x14ac:dyDescent="0.25">
      <c r="A936" s="7"/>
    </row>
    <row r="937" spans="1:1" ht="15.75" customHeight="1" x14ac:dyDescent="0.25">
      <c r="A937" s="7"/>
    </row>
    <row r="938" spans="1:1" ht="15.75" customHeight="1" x14ac:dyDescent="0.25">
      <c r="A938" s="7"/>
    </row>
    <row r="939" spans="1:1" ht="15.75" customHeight="1" x14ac:dyDescent="0.25">
      <c r="A939" s="7"/>
    </row>
    <row r="940" spans="1:1" ht="15.75" customHeight="1" x14ac:dyDescent="0.25">
      <c r="A940" s="7"/>
    </row>
    <row r="941" spans="1:1" ht="15.75" customHeight="1" x14ac:dyDescent="0.25">
      <c r="A941" s="7"/>
    </row>
    <row r="942" spans="1:1" ht="15.75" customHeight="1" x14ac:dyDescent="0.25">
      <c r="A942" s="7"/>
    </row>
    <row r="943" spans="1:1" ht="15.75" customHeight="1" x14ac:dyDescent="0.25">
      <c r="A943" s="7"/>
    </row>
    <row r="944" spans="1:1" ht="15.75" customHeight="1" x14ac:dyDescent="0.25">
      <c r="A944" s="7"/>
    </row>
    <row r="945" spans="1:1" ht="15.75" customHeight="1" x14ac:dyDescent="0.25">
      <c r="A945" s="7"/>
    </row>
    <row r="946" spans="1:1" ht="15.75" customHeight="1" x14ac:dyDescent="0.25">
      <c r="A946" s="7"/>
    </row>
    <row r="947" spans="1:1" ht="15.75" customHeight="1" x14ac:dyDescent="0.25">
      <c r="A947" s="7"/>
    </row>
    <row r="948" spans="1:1" ht="15.75" customHeight="1" x14ac:dyDescent="0.25">
      <c r="A948" s="7"/>
    </row>
    <row r="949" spans="1:1" ht="15.75" customHeight="1" x14ac:dyDescent="0.25">
      <c r="A949" s="7"/>
    </row>
    <row r="950" spans="1:1" ht="15.75" customHeight="1" x14ac:dyDescent="0.25">
      <c r="A950" s="7"/>
    </row>
    <row r="951" spans="1:1" ht="15.75" customHeight="1" x14ac:dyDescent="0.25">
      <c r="A951" s="7"/>
    </row>
    <row r="952" spans="1:1" ht="15.75" customHeight="1" x14ac:dyDescent="0.25">
      <c r="A952" s="7"/>
    </row>
    <row r="953" spans="1:1" ht="15.75" customHeight="1" x14ac:dyDescent="0.25">
      <c r="A953" s="7"/>
    </row>
    <row r="954" spans="1:1" ht="15.75" customHeight="1" x14ac:dyDescent="0.25">
      <c r="A954" s="7"/>
    </row>
    <row r="955" spans="1:1" ht="15.75" customHeight="1" x14ac:dyDescent="0.25">
      <c r="A955" s="7"/>
    </row>
    <row r="956" spans="1:1" ht="15.75" customHeight="1" x14ac:dyDescent="0.25">
      <c r="A956" s="7"/>
    </row>
    <row r="957" spans="1:1" ht="15.75" customHeight="1" x14ac:dyDescent="0.25">
      <c r="A957" s="7"/>
    </row>
    <row r="958" spans="1:1" ht="15.75" customHeight="1" x14ac:dyDescent="0.25">
      <c r="A958" s="7"/>
    </row>
    <row r="959" spans="1:1" ht="15.75" customHeight="1" x14ac:dyDescent="0.25">
      <c r="A959" s="7"/>
    </row>
    <row r="960" spans="1:1" ht="15.75" customHeight="1" x14ac:dyDescent="0.25">
      <c r="A960" s="7"/>
    </row>
    <row r="961" spans="1:1" ht="15.75" customHeight="1" x14ac:dyDescent="0.25">
      <c r="A961" s="7"/>
    </row>
    <row r="962" spans="1:1" ht="15.75" customHeight="1" x14ac:dyDescent="0.25">
      <c r="A962" s="7"/>
    </row>
    <row r="963" spans="1:1" ht="15.75" customHeight="1" x14ac:dyDescent="0.25">
      <c r="A963" s="7"/>
    </row>
    <row r="964" spans="1:1" ht="15.75" customHeight="1" x14ac:dyDescent="0.25">
      <c r="A964" s="7"/>
    </row>
    <row r="965" spans="1:1" ht="15.75" customHeight="1" x14ac:dyDescent="0.25">
      <c r="A965" s="7"/>
    </row>
    <row r="966" spans="1:1" ht="15.75" customHeight="1" x14ac:dyDescent="0.25">
      <c r="A966" s="7"/>
    </row>
    <row r="967" spans="1:1" ht="15.75" customHeight="1" x14ac:dyDescent="0.25">
      <c r="A967" s="7"/>
    </row>
    <row r="968" spans="1:1" ht="15.75" customHeight="1" x14ac:dyDescent="0.25">
      <c r="A968" s="7"/>
    </row>
    <row r="969" spans="1:1" ht="15.75" customHeight="1" x14ac:dyDescent="0.25">
      <c r="A969" s="7"/>
    </row>
    <row r="970" spans="1:1" ht="15.75" customHeight="1" x14ac:dyDescent="0.25">
      <c r="A970" s="7"/>
    </row>
    <row r="971" spans="1:1" ht="15.75" customHeight="1" x14ac:dyDescent="0.25">
      <c r="A971" s="7"/>
    </row>
    <row r="972" spans="1:1" ht="15.75" customHeight="1" x14ac:dyDescent="0.25">
      <c r="A972" s="7"/>
    </row>
    <row r="973" spans="1:1" ht="15.75" customHeight="1" x14ac:dyDescent="0.25">
      <c r="A973" s="7"/>
    </row>
    <row r="974" spans="1:1" ht="15.75" customHeight="1" x14ac:dyDescent="0.25">
      <c r="A974" s="7"/>
    </row>
    <row r="975" spans="1:1" ht="15.75" customHeight="1" x14ac:dyDescent="0.25">
      <c r="A975" s="7"/>
    </row>
    <row r="976" spans="1:1" ht="15.75" customHeight="1" x14ac:dyDescent="0.25">
      <c r="A976" s="7"/>
    </row>
    <row r="977" spans="1:1" ht="15.75" customHeight="1" x14ac:dyDescent="0.25">
      <c r="A977" s="7"/>
    </row>
    <row r="978" spans="1:1" ht="15.75" customHeight="1" x14ac:dyDescent="0.25">
      <c r="A978" s="7"/>
    </row>
    <row r="979" spans="1:1" ht="15.75" customHeight="1" x14ac:dyDescent="0.25">
      <c r="A979" s="7"/>
    </row>
    <row r="980" spans="1:1" ht="15.75" customHeight="1" x14ac:dyDescent="0.25">
      <c r="A980" s="7"/>
    </row>
    <row r="981" spans="1:1" ht="15.75" customHeight="1" x14ac:dyDescent="0.25">
      <c r="A981" s="7"/>
    </row>
    <row r="982" spans="1:1" ht="15.75" customHeight="1" x14ac:dyDescent="0.25">
      <c r="A982" s="7"/>
    </row>
    <row r="983" spans="1:1" ht="15.75" customHeight="1" x14ac:dyDescent="0.25">
      <c r="A983" s="7"/>
    </row>
    <row r="984" spans="1:1" ht="15.75" customHeight="1" x14ac:dyDescent="0.25">
      <c r="A984" s="7"/>
    </row>
    <row r="985" spans="1:1" ht="15.75" customHeight="1" x14ac:dyDescent="0.25">
      <c r="A985" s="7"/>
    </row>
    <row r="986" spans="1:1" ht="15.75" customHeight="1" x14ac:dyDescent="0.25">
      <c r="A986" s="7"/>
    </row>
    <row r="987" spans="1:1" ht="15.75" customHeight="1" x14ac:dyDescent="0.25">
      <c r="A987" s="7"/>
    </row>
    <row r="988" spans="1:1" ht="15.75" customHeight="1" x14ac:dyDescent="0.25">
      <c r="A988" s="7"/>
    </row>
    <row r="989" spans="1:1" ht="15.75" customHeight="1" x14ac:dyDescent="0.25">
      <c r="A989" s="7"/>
    </row>
    <row r="990" spans="1:1" ht="15.75" customHeight="1" x14ac:dyDescent="0.25">
      <c r="A990" s="7"/>
    </row>
    <row r="991" spans="1:1" ht="15.75" customHeight="1" x14ac:dyDescent="0.25">
      <c r="A991" s="7"/>
    </row>
    <row r="992" spans="1:1" ht="15.75" customHeight="1" x14ac:dyDescent="0.25">
      <c r="A992" s="7"/>
    </row>
    <row r="993" spans="1:1" ht="15.75" customHeight="1" x14ac:dyDescent="0.25">
      <c r="A993" s="7"/>
    </row>
    <row r="994" spans="1:1" ht="15.75" customHeight="1" x14ac:dyDescent="0.25">
      <c r="A994" s="7"/>
    </row>
    <row r="995" spans="1:1" ht="15.75" customHeight="1" x14ac:dyDescent="0.25">
      <c r="A995" s="7"/>
    </row>
    <row r="996" spans="1:1" ht="15.75" customHeight="1" x14ac:dyDescent="0.25">
      <c r="A996" s="7"/>
    </row>
    <row r="997" spans="1:1" ht="15.75" customHeight="1" x14ac:dyDescent="0.25">
      <c r="A997" s="7"/>
    </row>
    <row r="998" spans="1:1" ht="15.75" customHeight="1" x14ac:dyDescent="0.25">
      <c r="A998" s="7"/>
    </row>
    <row r="999" spans="1:1" ht="15.75" customHeight="1" x14ac:dyDescent="0.25">
      <c r="A999" s="7"/>
    </row>
    <row r="1000" spans="1:1" ht="15.75" customHeight="1" x14ac:dyDescent="0.25">
      <c r="A1000" s="7"/>
    </row>
  </sheetData>
  <sheetProtection algorithmName="SHA-512" hashValue="MIi+C+UHCV61llSoGKZFA1dXEnXuXHx3YoeQYcMdWCzds9rUQRKAvHITc98IAE8EVHbIIUun/OgovKTkZ0/gew==" saltValue="qRd2/prsfdN/Sm6tdSzB/Q==" spinCount="100000" sheet="1" objects="1" scenarios="1"/>
  <mergeCells count="6">
    <mergeCell ref="B54:H54"/>
    <mergeCell ref="B72:H72"/>
    <mergeCell ref="B109:H109"/>
    <mergeCell ref="B132:H132"/>
    <mergeCell ref="B1:H1"/>
    <mergeCell ref="B27:H27"/>
  </mergeCells>
  <pageMargins left="0.7" right="0.7" top="0.75" bottom="0.75" header="0" footer="0"/>
  <pageSetup orientation="portrait"/>
  <tableParts count="4">
    <tablePart r:id="rId1"/>
    <tablePart r:id="rId2"/>
    <tablePart r:id="rId3"/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00"/>
  <sheetViews>
    <sheetView zoomScale="70" zoomScaleNormal="70" workbookViewId="0">
      <selection activeCell="E9" sqref="E9:G9"/>
    </sheetView>
  </sheetViews>
  <sheetFormatPr defaultColWidth="14.42578125" defaultRowHeight="15" customHeight="1" x14ac:dyDescent="0.25"/>
  <cols>
    <col min="1" max="1" width="9.140625" style="42" customWidth="1"/>
    <col min="2" max="2" width="45.7109375" style="42" customWidth="1"/>
    <col min="3" max="3" width="8.85546875" style="42" customWidth="1"/>
    <col min="4" max="4" width="8.140625" style="42" customWidth="1"/>
    <col min="5" max="7" width="8.7109375" style="42" customWidth="1"/>
    <col min="8" max="8" width="13.140625" style="42" customWidth="1"/>
    <col min="9" max="10" width="8.7109375" style="42" customWidth="1"/>
    <col min="11" max="11" width="39.28515625" style="42" customWidth="1"/>
    <col min="12" max="26" width="8.7109375" style="42" customWidth="1"/>
    <col min="27" max="16384" width="14.42578125" style="42"/>
  </cols>
  <sheetData>
    <row r="1" spans="1:16" ht="18.75" x14ac:dyDescent="0.3">
      <c r="A1" s="1"/>
      <c r="B1" s="173" t="s">
        <v>2</v>
      </c>
      <c r="C1" s="174"/>
      <c r="D1" s="174"/>
      <c r="E1" s="174"/>
      <c r="F1" s="174"/>
      <c r="G1" s="174"/>
      <c r="H1" s="134"/>
      <c r="I1" s="1"/>
    </row>
    <row r="2" spans="1:16" ht="15.75" thickBot="1" x14ac:dyDescent="0.3">
      <c r="A2" s="1"/>
      <c r="B2" s="8" t="s">
        <v>8</v>
      </c>
      <c r="C2" s="8" t="s">
        <v>11</v>
      </c>
      <c r="D2" s="9" t="e">
        <f>VLOOKUP(B2,'Nutrition Plan'!$D$31:$F$41,3,0)</f>
        <v>#N/A</v>
      </c>
      <c r="E2" s="10" t="e">
        <f>D2/(1/10)</f>
        <v>#N/A</v>
      </c>
      <c r="F2" s="11" t="e">
        <f>D2/(1/0.2)</f>
        <v>#N/A</v>
      </c>
      <c r="G2" s="10" t="e">
        <f>D2/(1/50)</f>
        <v>#N/A</v>
      </c>
      <c r="H2" s="12" t="e">
        <f t="shared" ref="H2:H26" si="0">(E2*4)+(F2*9)+(G2*4)</f>
        <v>#N/A</v>
      </c>
      <c r="I2" s="1"/>
    </row>
    <row r="3" spans="1:16" ht="16.5" thickTop="1" thickBot="1" x14ac:dyDescent="0.3">
      <c r="A3" s="1"/>
      <c r="B3" s="8" t="s">
        <v>21</v>
      </c>
      <c r="C3" s="8" t="s">
        <v>22</v>
      </c>
      <c r="D3" s="9" t="e">
        <f>VLOOKUP(B3,'Nutrition Plan'!$D$31:$F$41,3,0)</f>
        <v>#N/A</v>
      </c>
      <c r="E3" s="10" t="e">
        <f>D3/(1/4)</f>
        <v>#N/A</v>
      </c>
      <c r="F3" s="11" t="e">
        <f>D3/(1/0.5)</f>
        <v>#N/A</v>
      </c>
      <c r="G3" s="10" t="e">
        <f>D3/(1/15)</f>
        <v>#N/A</v>
      </c>
      <c r="H3" s="12" t="e">
        <f t="shared" si="0"/>
        <v>#N/A</v>
      </c>
      <c r="I3" s="1"/>
      <c r="K3" s="7" t="s">
        <v>168</v>
      </c>
      <c r="M3" s="42">
        <v>1.5</v>
      </c>
      <c r="N3" s="42">
        <v>0.3</v>
      </c>
      <c r="O3" s="42">
        <v>5</v>
      </c>
      <c r="P3" s="42">
        <v>1</v>
      </c>
    </row>
    <row r="4" spans="1:16" ht="16.5" thickTop="1" thickBot="1" x14ac:dyDescent="0.3">
      <c r="A4" s="1"/>
      <c r="B4" s="8" t="s">
        <v>25</v>
      </c>
      <c r="C4" s="8" t="s">
        <v>7</v>
      </c>
      <c r="D4" s="9" t="e">
        <f>VLOOKUP(B4,'Nutrition Plan'!$D$31:$F$41,3,0)</f>
        <v>#N/A</v>
      </c>
      <c r="E4" s="10" t="e">
        <f>D4/(28/3)</f>
        <v>#N/A</v>
      </c>
      <c r="F4" s="11" t="e">
        <f>D4/(28/2)</f>
        <v>#N/A</v>
      </c>
      <c r="G4" s="10" t="e">
        <f>D4/(28/20)</f>
        <v>#N/A</v>
      </c>
      <c r="H4" s="12" t="e">
        <f t="shared" si="0"/>
        <v>#N/A</v>
      </c>
      <c r="I4" s="1"/>
      <c r="K4" s="7" t="s">
        <v>26</v>
      </c>
      <c r="M4" s="42">
        <v>1.6</v>
      </c>
      <c r="N4" s="42">
        <v>0.31</v>
      </c>
      <c r="O4" s="42">
        <v>8</v>
      </c>
      <c r="P4" s="42">
        <v>2</v>
      </c>
    </row>
    <row r="5" spans="1:16" ht="16.5" thickTop="1" thickBot="1" x14ac:dyDescent="0.3">
      <c r="A5" s="1"/>
      <c r="B5" s="8" t="s">
        <v>27</v>
      </c>
      <c r="C5" s="8" t="s">
        <v>7</v>
      </c>
      <c r="D5" s="9" t="e">
        <f>VLOOKUP(B5,'Nutrition Plan'!$D$31:$F$41,3,0)</f>
        <v>#N/A</v>
      </c>
      <c r="E5" s="10" t="e">
        <f>D5/(57/8)</f>
        <v>#N/A</v>
      </c>
      <c r="F5" s="11">
        <v>0</v>
      </c>
      <c r="G5" s="10" t="e">
        <f>D5/(57/40)</f>
        <v>#N/A</v>
      </c>
      <c r="H5" s="12" t="e">
        <f t="shared" si="0"/>
        <v>#N/A</v>
      </c>
      <c r="I5" s="1"/>
      <c r="K5" s="7" t="s">
        <v>169</v>
      </c>
      <c r="M5" s="42">
        <v>1.7</v>
      </c>
      <c r="N5" s="42">
        <v>0.32</v>
      </c>
      <c r="O5" s="42">
        <v>10</v>
      </c>
      <c r="P5" s="42">
        <v>3</v>
      </c>
    </row>
    <row r="6" spans="1:16" ht="16.5" thickTop="1" thickBot="1" x14ac:dyDescent="0.3">
      <c r="A6" s="1"/>
      <c r="B6" s="8" t="s">
        <v>28</v>
      </c>
      <c r="C6" s="8" t="s">
        <v>7</v>
      </c>
      <c r="D6" s="9" t="e">
        <f>VLOOKUP(B6,'Nutrition Plan'!$D$31:$F$41,3,0)</f>
        <v>#N/A</v>
      </c>
      <c r="E6" s="10" t="e">
        <f>D6/(14/1)</f>
        <v>#N/A</v>
      </c>
      <c r="F6" s="11">
        <f>0</f>
        <v>0</v>
      </c>
      <c r="G6" s="10" t="e">
        <f>D6/(14/12)</f>
        <v>#N/A</v>
      </c>
      <c r="H6" s="12" t="e">
        <f t="shared" si="0"/>
        <v>#N/A</v>
      </c>
      <c r="I6" s="1"/>
      <c r="K6" s="7" t="s">
        <v>33</v>
      </c>
      <c r="M6" s="42">
        <v>1.8</v>
      </c>
      <c r="N6" s="42">
        <v>0.33</v>
      </c>
      <c r="O6" s="42">
        <v>12</v>
      </c>
      <c r="P6" s="42">
        <v>4</v>
      </c>
    </row>
    <row r="7" spans="1:16" ht="16.5" thickTop="1" thickBot="1" x14ac:dyDescent="0.3">
      <c r="A7" s="1"/>
      <c r="B7" s="8" t="s">
        <v>34</v>
      </c>
      <c r="C7" s="8" t="s">
        <v>7</v>
      </c>
      <c r="D7" s="9" t="e">
        <f>VLOOKUP(B7,'Nutrition Plan'!$D$31:$F$41,3,0)</f>
        <v>#N/A</v>
      </c>
      <c r="E7" s="10" t="e">
        <f>D7/(30/2)</f>
        <v>#N/A</v>
      </c>
      <c r="F7" s="11" t="e">
        <f>D7/(30/1)</f>
        <v>#N/A</v>
      </c>
      <c r="G7" s="10" t="e">
        <f>D7/(30/11)</f>
        <v>#N/A</v>
      </c>
      <c r="H7" s="12" t="e">
        <f t="shared" si="0"/>
        <v>#N/A</v>
      </c>
      <c r="I7" s="1"/>
      <c r="K7" s="7" t="s">
        <v>36</v>
      </c>
      <c r="M7" s="42">
        <v>1.9</v>
      </c>
      <c r="N7" s="42">
        <v>0.34</v>
      </c>
      <c r="O7" s="42">
        <v>15</v>
      </c>
      <c r="P7" s="42">
        <v>5</v>
      </c>
    </row>
    <row r="8" spans="1:16" ht="16.5" thickTop="1" thickBot="1" x14ac:dyDescent="0.3">
      <c r="A8" s="1"/>
      <c r="B8" s="8" t="s">
        <v>170</v>
      </c>
      <c r="C8" s="8" t="s">
        <v>7</v>
      </c>
      <c r="D8" s="9" t="e">
        <f>VLOOKUP(B8,'Nutrition Plan'!$D$31:$F$41,3,0)</f>
        <v>#N/A</v>
      </c>
      <c r="E8" s="10" t="e">
        <f>D8/(100/2)</f>
        <v>#N/A</v>
      </c>
      <c r="F8" s="11">
        <f>0</f>
        <v>0</v>
      </c>
      <c r="G8" s="10" t="e">
        <f>D8/(100/82.4)</f>
        <v>#N/A</v>
      </c>
      <c r="H8" s="12" t="e">
        <f t="shared" si="0"/>
        <v>#N/A</v>
      </c>
      <c r="I8" s="1"/>
      <c r="K8" s="7" t="s">
        <v>37</v>
      </c>
      <c r="M8" s="42">
        <v>2</v>
      </c>
      <c r="N8" s="42">
        <v>0.35</v>
      </c>
      <c r="P8" s="42">
        <v>6</v>
      </c>
    </row>
    <row r="9" spans="1:16" ht="16.5" thickTop="1" thickBot="1" x14ac:dyDescent="0.3">
      <c r="A9" s="1"/>
      <c r="B9" s="8" t="s">
        <v>171</v>
      </c>
      <c r="C9" s="8" t="s">
        <v>7</v>
      </c>
      <c r="D9" s="9" t="e">
        <f>VLOOKUP(B9,'Nutrition Plan'!$D$31:$F$41,3,0)</f>
        <v>#N/A</v>
      </c>
      <c r="E9" s="10">
        <v>0</v>
      </c>
      <c r="F9" s="11">
        <v>0</v>
      </c>
      <c r="G9" s="10" t="e">
        <f>D9/(28/4)</f>
        <v>#N/A</v>
      </c>
      <c r="H9" s="12" t="e">
        <f t="shared" si="0"/>
        <v>#N/A</v>
      </c>
      <c r="I9" s="1"/>
      <c r="M9" s="42">
        <v>2.1</v>
      </c>
      <c r="N9" s="42">
        <v>0.36</v>
      </c>
      <c r="P9" s="42">
        <v>7</v>
      </c>
    </row>
    <row r="10" spans="1:16" ht="16.5" thickTop="1" thickBot="1" x14ac:dyDescent="0.3">
      <c r="A10" s="1"/>
      <c r="B10" s="8" t="s">
        <v>172</v>
      </c>
      <c r="C10" s="8" t="s">
        <v>7</v>
      </c>
      <c r="D10" s="9" t="e">
        <f>VLOOKUP(B10,'Nutrition Plan'!$D$31:$F$41,3,0)</f>
        <v>#N/A</v>
      </c>
      <c r="E10" s="10" t="e">
        <f>D10/(45/7)</f>
        <v>#N/A</v>
      </c>
      <c r="F10" s="11" t="e">
        <f>D10/(45/3)</f>
        <v>#N/A</v>
      </c>
      <c r="G10" s="10" t="e">
        <f>D10/(45/30)</f>
        <v>#N/A</v>
      </c>
      <c r="H10" s="12" t="e">
        <f t="shared" si="0"/>
        <v>#N/A</v>
      </c>
      <c r="I10" s="1"/>
      <c r="M10" s="42">
        <v>2.2000000000000002</v>
      </c>
      <c r="N10" s="42">
        <v>0.37</v>
      </c>
    </row>
    <row r="11" spans="1:16" ht="16.5" thickTop="1" thickBot="1" x14ac:dyDescent="0.3">
      <c r="A11" s="1"/>
      <c r="B11" s="8" t="s">
        <v>38</v>
      </c>
      <c r="C11" s="8" t="s">
        <v>7</v>
      </c>
      <c r="D11" s="9" t="e">
        <f>VLOOKUP(B11,'Nutrition Plan'!$D$31:$F$41,3,0)</f>
        <v>#N/A</v>
      </c>
      <c r="E11" s="10" t="e">
        <f t="shared" ref="E11:E12" si="1">D11/(40/5)</f>
        <v>#N/A</v>
      </c>
      <c r="F11" s="11" t="e">
        <f>D11/(40/3)</f>
        <v>#N/A</v>
      </c>
      <c r="G11" s="10" t="e">
        <f t="shared" ref="G11:G12" si="2">D11/(40/27)</f>
        <v>#N/A</v>
      </c>
      <c r="H11" s="12" t="e">
        <f t="shared" si="0"/>
        <v>#N/A</v>
      </c>
      <c r="I11" s="1"/>
      <c r="M11" s="42">
        <v>2.2999999999999998</v>
      </c>
      <c r="N11" s="42">
        <v>0.38</v>
      </c>
    </row>
    <row r="12" spans="1:16" ht="16.5" thickTop="1" thickBot="1" x14ac:dyDescent="0.3">
      <c r="A12" s="1"/>
      <c r="B12" s="8" t="s">
        <v>173</v>
      </c>
      <c r="C12" s="8" t="s">
        <v>7</v>
      </c>
      <c r="D12" s="9" t="e">
        <f>VLOOKUP(B12,'Nutrition Plan'!$D$31:$F$41,3,0)</f>
        <v>#N/A</v>
      </c>
      <c r="E12" s="10" t="e">
        <f t="shared" si="1"/>
        <v>#N/A</v>
      </c>
      <c r="F12" s="11" t="e">
        <f>D12/(40/2.5)</f>
        <v>#N/A</v>
      </c>
      <c r="G12" s="10" t="e">
        <f t="shared" si="2"/>
        <v>#N/A</v>
      </c>
      <c r="H12" s="12" t="e">
        <f t="shared" si="0"/>
        <v>#N/A</v>
      </c>
      <c r="I12" s="1"/>
      <c r="M12" s="42">
        <v>2.4</v>
      </c>
      <c r="N12" s="42">
        <v>0.39</v>
      </c>
    </row>
    <row r="13" spans="1:16" ht="16.5" thickTop="1" thickBot="1" x14ac:dyDescent="0.3">
      <c r="A13" s="1"/>
      <c r="B13" s="8" t="s">
        <v>41</v>
      </c>
      <c r="C13" s="8" t="s">
        <v>7</v>
      </c>
      <c r="D13" s="9" t="e">
        <f>VLOOKUP(B13,'Nutrition Plan'!$D$31:$F$41,3,0)</f>
        <v>#N/A</v>
      </c>
      <c r="E13" s="10" t="e">
        <f>D13/(47/4)</f>
        <v>#N/A</v>
      </c>
      <c r="F13" s="11" t="e">
        <f>D13/(47/0.5)</f>
        <v>#N/A</v>
      </c>
      <c r="G13" s="10" t="e">
        <f>D13/(47/33)</f>
        <v>#N/A</v>
      </c>
      <c r="H13" s="12" t="e">
        <f t="shared" si="0"/>
        <v>#N/A</v>
      </c>
      <c r="I13" s="1"/>
      <c r="M13" s="42">
        <v>2.5</v>
      </c>
      <c r="N13" s="42">
        <v>0.4</v>
      </c>
    </row>
    <row r="14" spans="1:16" ht="16.5" thickTop="1" thickBot="1" x14ac:dyDescent="0.3">
      <c r="A14" s="1"/>
      <c r="B14" s="8" t="s">
        <v>42</v>
      </c>
      <c r="C14" s="8" t="s">
        <v>7</v>
      </c>
      <c r="D14" s="9" t="e">
        <f>VLOOKUP(B14,'Nutrition Plan'!$D$31:$F$41,3,0)</f>
        <v>#N/A</v>
      </c>
      <c r="E14" s="10" t="e">
        <f>D14/(38/4)</f>
        <v>#N/A</v>
      </c>
      <c r="F14" s="11" t="e">
        <f>D14/(38/0.5)</f>
        <v>#N/A</v>
      </c>
      <c r="G14" s="10" t="e">
        <f>D14/(38/26)</f>
        <v>#N/A</v>
      </c>
      <c r="H14" s="12" t="e">
        <f t="shared" si="0"/>
        <v>#N/A</v>
      </c>
      <c r="I14" s="1"/>
      <c r="N14" s="42">
        <v>0.41</v>
      </c>
    </row>
    <row r="15" spans="1:16" ht="16.5" thickTop="1" thickBot="1" x14ac:dyDescent="0.3">
      <c r="A15" s="1"/>
      <c r="B15" s="8" t="s">
        <v>43</v>
      </c>
      <c r="C15" s="8" t="s">
        <v>7</v>
      </c>
      <c r="D15" s="9" t="e">
        <f>VLOOKUP(B15,'Nutrition Plan'!$D$31:$F$41,3,0)</f>
        <v>#N/A</v>
      </c>
      <c r="E15" s="10" t="e">
        <f>D15/(42/1)</f>
        <v>#N/A</v>
      </c>
      <c r="F15" s="11" t="e">
        <f>D15/(42/0.5)</f>
        <v>#N/A</v>
      </c>
      <c r="G15" s="10" t="e">
        <f>D15/(42/32)</f>
        <v>#N/A</v>
      </c>
      <c r="H15" s="12" t="e">
        <f t="shared" si="0"/>
        <v>#N/A</v>
      </c>
      <c r="I15" s="1"/>
      <c r="N15" s="42">
        <v>0.42</v>
      </c>
    </row>
    <row r="16" spans="1:16" ht="16.5" thickTop="1" thickBot="1" x14ac:dyDescent="0.3">
      <c r="A16" s="1"/>
      <c r="B16" s="8" t="s">
        <v>174</v>
      </c>
      <c r="C16" s="8" t="s">
        <v>7</v>
      </c>
      <c r="D16" s="9" t="e">
        <f>VLOOKUP(B16,'Nutrition Plan'!$D$31:$F$41,3,0)</f>
        <v>#N/A</v>
      </c>
      <c r="E16" s="10" t="e">
        <f>D16/(28/1.5)</f>
        <v>#N/A</v>
      </c>
      <c r="F16" s="11" t="e">
        <f>D16/(28/0.15)</f>
        <v>#N/A</v>
      </c>
      <c r="G16" s="10" t="e">
        <f>D16/(28/7.45)</f>
        <v>#N/A</v>
      </c>
      <c r="H16" s="12" t="e">
        <f t="shared" si="0"/>
        <v>#N/A</v>
      </c>
      <c r="I16" s="1"/>
      <c r="N16" s="42">
        <v>0.43</v>
      </c>
    </row>
    <row r="17" spans="1:14" ht="16.5" thickTop="1" thickBot="1" x14ac:dyDescent="0.3">
      <c r="A17" s="1"/>
      <c r="B17" s="8" t="s">
        <v>44</v>
      </c>
      <c r="C17" s="8" t="s">
        <v>45</v>
      </c>
      <c r="D17" s="9" t="e">
        <f>VLOOKUP(B17,'Nutrition Plan'!$D$31:$F$41,3,0)</f>
        <v>#N/A</v>
      </c>
      <c r="E17" s="10" t="e">
        <f>D17/(1/1)</f>
        <v>#N/A</v>
      </c>
      <c r="F17" s="11">
        <f>0</f>
        <v>0</v>
      </c>
      <c r="G17" s="10" t="e">
        <f>D17/(1/8)</f>
        <v>#N/A</v>
      </c>
      <c r="H17" s="12" t="e">
        <f t="shared" si="0"/>
        <v>#N/A</v>
      </c>
      <c r="I17" s="1"/>
      <c r="N17" s="42">
        <v>0.44</v>
      </c>
    </row>
    <row r="18" spans="1:14" ht="16.5" thickTop="1" thickBot="1" x14ac:dyDescent="0.3">
      <c r="A18" s="1"/>
      <c r="B18" s="8" t="s">
        <v>175</v>
      </c>
      <c r="C18" s="8" t="s">
        <v>7</v>
      </c>
      <c r="D18" s="9" t="e">
        <f>VLOOKUP(B18,'Nutrition Plan'!$D$31:$F$41,3,0)</f>
        <v>#N/A</v>
      </c>
      <c r="E18" s="10" t="e">
        <f>D18/(100/2.32)</f>
        <v>#N/A</v>
      </c>
      <c r="F18" s="11" t="e">
        <f>D18/(100/0.83)</f>
        <v>#N/A</v>
      </c>
      <c r="G18" s="10" t="e">
        <f>D18/(100/23.51)</f>
        <v>#N/A</v>
      </c>
      <c r="H18" s="12" t="e">
        <f t="shared" si="0"/>
        <v>#N/A</v>
      </c>
      <c r="I18" s="1"/>
      <c r="N18" s="42">
        <v>0.45</v>
      </c>
    </row>
    <row r="19" spans="1:14" ht="16.5" thickTop="1" thickBot="1" x14ac:dyDescent="0.3">
      <c r="A19" s="1"/>
      <c r="B19" s="8" t="s">
        <v>176</v>
      </c>
      <c r="C19" s="8" t="s">
        <v>7</v>
      </c>
      <c r="D19" s="9" t="e">
        <f>VLOOKUP(B19,'Nutrition Plan'!$D$31:$F$41,3,0)</f>
        <v>#N/A</v>
      </c>
      <c r="E19" s="10" t="e">
        <f>D19/(200/4.2)</f>
        <v>#N/A</v>
      </c>
      <c r="F19" s="11" t="e">
        <f>D19/(200/0.44)</f>
        <v>#N/A</v>
      </c>
      <c r="G19" s="10" t="e">
        <f>D19/(200/45)</f>
        <v>#N/A</v>
      </c>
      <c r="H19" s="12" t="e">
        <f t="shared" si="0"/>
        <v>#N/A</v>
      </c>
      <c r="I19" s="1"/>
      <c r="N19" s="42">
        <v>0.46</v>
      </c>
    </row>
    <row r="20" spans="1:14" ht="16.5" thickTop="1" thickBot="1" x14ac:dyDescent="0.3">
      <c r="A20" s="1"/>
      <c r="B20" s="8" t="s">
        <v>177</v>
      </c>
      <c r="C20" s="8" t="s">
        <v>7</v>
      </c>
      <c r="D20" s="9" t="e">
        <f>VLOOKUP(B20,'Nutrition Plan'!$D$31:$F$41,3,0)</f>
        <v>#N/A</v>
      </c>
      <c r="E20" s="10" t="e">
        <f>D20/(100/2.38)</f>
        <v>#N/A</v>
      </c>
      <c r="F20" s="11" t="e">
        <f>D20/(100/0.21)</f>
        <v>#N/A</v>
      </c>
      <c r="G20" s="10" t="e">
        <f>D20/(100/28.59)</f>
        <v>#N/A</v>
      </c>
      <c r="H20" s="12" t="e">
        <f t="shared" si="0"/>
        <v>#N/A</v>
      </c>
      <c r="I20" s="1"/>
      <c r="N20" s="42">
        <v>0.47</v>
      </c>
    </row>
    <row r="21" spans="1:14" ht="15.75" customHeight="1" thickTop="1" thickBot="1" x14ac:dyDescent="0.3">
      <c r="A21" s="1"/>
      <c r="B21" s="8" t="s">
        <v>178</v>
      </c>
      <c r="C21" s="8" t="s">
        <v>7</v>
      </c>
      <c r="D21" s="9" t="e">
        <f>VLOOKUP(B21,'Nutrition Plan'!$D$31:$F$41,3,0)</f>
        <v>#N/A</v>
      </c>
      <c r="E21" s="10" t="e">
        <f>D21/(100/2)</f>
        <v>#N/A</v>
      </c>
      <c r="F21" s="11">
        <v>0</v>
      </c>
      <c r="G21" s="10" t="e">
        <f>D21/(100/20)</f>
        <v>#N/A</v>
      </c>
      <c r="H21" s="12" t="e">
        <f t="shared" si="0"/>
        <v>#N/A</v>
      </c>
      <c r="I21" s="1"/>
      <c r="N21" s="42">
        <v>0.48</v>
      </c>
    </row>
    <row r="22" spans="1:14" ht="15.75" customHeight="1" thickTop="1" thickBot="1" x14ac:dyDescent="0.3">
      <c r="A22" s="1"/>
      <c r="B22" s="8" t="s">
        <v>48</v>
      </c>
      <c r="C22" s="8" t="s">
        <v>7</v>
      </c>
      <c r="D22" s="9" t="e">
        <f>VLOOKUP(B22,'Nutrition Plan'!$D$31:$F$41,3,0)</f>
        <v>#N/A</v>
      </c>
      <c r="E22" s="10" t="e">
        <f t="shared" ref="E22:E23" si="3">D22/(70/5)</f>
        <v>#N/A</v>
      </c>
      <c r="F22" s="11" t="e">
        <f>D22/(70/8)</f>
        <v>#N/A</v>
      </c>
      <c r="G22" s="10" t="e">
        <f t="shared" ref="G22:G23" si="4">D22/(70/27)</f>
        <v>#N/A</v>
      </c>
      <c r="H22" s="12" t="e">
        <f t="shared" si="0"/>
        <v>#N/A</v>
      </c>
      <c r="I22" s="1"/>
      <c r="N22" s="42">
        <v>0.49</v>
      </c>
    </row>
    <row r="23" spans="1:14" ht="15.75" customHeight="1" thickTop="1" thickBot="1" x14ac:dyDescent="0.3">
      <c r="A23" s="1"/>
      <c r="B23" s="8" t="s">
        <v>51</v>
      </c>
      <c r="C23" s="8" t="s">
        <v>7</v>
      </c>
      <c r="D23" s="9" t="e">
        <f>VLOOKUP(B23,'Nutrition Plan'!$D$31:$F$41,3,0)</f>
        <v>#N/A</v>
      </c>
      <c r="E23" s="10" t="e">
        <f t="shared" si="3"/>
        <v>#N/A</v>
      </c>
      <c r="F23" s="11" t="e">
        <f>D23/(70/2.5)</f>
        <v>#N/A</v>
      </c>
      <c r="G23" s="10" t="e">
        <f t="shared" si="4"/>
        <v>#N/A</v>
      </c>
      <c r="H23" s="12" t="e">
        <f t="shared" si="0"/>
        <v>#N/A</v>
      </c>
      <c r="I23" s="1"/>
      <c r="N23" s="42">
        <v>0.5</v>
      </c>
    </row>
    <row r="24" spans="1:14" ht="15.75" customHeight="1" thickTop="1" thickBot="1" x14ac:dyDescent="0.3">
      <c r="A24" s="1"/>
      <c r="B24" s="8" t="s">
        <v>54</v>
      </c>
      <c r="C24" s="8" t="s">
        <v>55</v>
      </c>
      <c r="D24" s="9" t="e">
        <f>VLOOKUP(B24,'Nutrition Plan'!$D$31:$F$41,3,0)</f>
        <v>#N/A</v>
      </c>
      <c r="E24" s="10" t="e">
        <f>D24/(2/5)</f>
        <v>#N/A</v>
      </c>
      <c r="F24" s="11" t="e">
        <f>D24/(2/5)</f>
        <v>#N/A</v>
      </c>
      <c r="G24" s="10" t="e">
        <f>D24/(2/25)</f>
        <v>#N/A</v>
      </c>
      <c r="H24" s="12" t="e">
        <f t="shared" si="0"/>
        <v>#N/A</v>
      </c>
      <c r="I24" s="1"/>
    </row>
    <row r="25" spans="1:14" ht="15.75" customHeight="1" thickTop="1" thickBot="1" x14ac:dyDescent="0.3">
      <c r="A25" s="1"/>
      <c r="B25" s="8" t="s">
        <v>179</v>
      </c>
      <c r="C25" s="8" t="s">
        <v>7</v>
      </c>
      <c r="D25" s="9" t="e">
        <f>VLOOKUP(B25,'Nutrition Plan'!$D$31:$F$41,3,0)</f>
        <v>#N/A</v>
      </c>
      <c r="E25" s="10" t="e">
        <f>D25/(100/2.4)</f>
        <v>#N/A</v>
      </c>
      <c r="F25" s="11" t="e">
        <f>D25/(100/0.15)</f>
        <v>#N/A</v>
      </c>
      <c r="G25" s="10" t="e">
        <f>D25/(100/24.2)</f>
        <v>#N/A</v>
      </c>
      <c r="H25" s="12" t="e">
        <f t="shared" si="0"/>
        <v>#N/A</v>
      </c>
      <c r="I25" s="1"/>
    </row>
    <row r="26" spans="1:14" ht="15.75" customHeight="1" thickTop="1" thickBot="1" x14ac:dyDescent="0.3">
      <c r="A26" s="1"/>
      <c r="B26" s="8" t="s">
        <v>57</v>
      </c>
      <c r="C26" s="8" t="s">
        <v>58</v>
      </c>
      <c r="D26" s="9" t="e">
        <f>VLOOKUP(B26,'Nutrition Plan'!$D$31:$F$41,3,0)</f>
        <v>#N/A</v>
      </c>
      <c r="E26" s="10" t="e">
        <f>D26/(1/8)</f>
        <v>#N/A</v>
      </c>
      <c r="F26" s="11" t="e">
        <f>D26/(1/3)</f>
        <v>#N/A</v>
      </c>
      <c r="G26" s="10" t="e">
        <f>D26/(1/7)</f>
        <v>#N/A</v>
      </c>
      <c r="H26" s="12" t="e">
        <f t="shared" si="0"/>
        <v>#N/A</v>
      </c>
      <c r="I26" s="1"/>
    </row>
    <row r="27" spans="1:14" ht="15.75" customHeight="1" thickTop="1" x14ac:dyDescent="0.3">
      <c r="A27" s="1"/>
      <c r="B27" s="173" t="s">
        <v>26</v>
      </c>
      <c r="C27" s="174"/>
      <c r="D27" s="174"/>
      <c r="E27" s="174"/>
      <c r="F27" s="174"/>
      <c r="G27" s="174"/>
      <c r="H27" s="134"/>
      <c r="I27" s="1"/>
    </row>
    <row r="28" spans="1:14" ht="15.75" customHeight="1" thickBot="1" x14ac:dyDescent="0.3">
      <c r="A28" s="1"/>
      <c r="B28" s="8" t="s">
        <v>60</v>
      </c>
      <c r="C28" s="8" t="s">
        <v>7</v>
      </c>
      <c r="D28" s="9" t="e">
        <f>VLOOKUP(B28,'Nutrition Plan'!$D$31:$F$41,3,0)</f>
        <v>#N/A</v>
      </c>
      <c r="E28" s="10" t="e">
        <f>D28/(28/2.95)</f>
        <v>#N/A</v>
      </c>
      <c r="F28" s="11" t="e">
        <f>D28/(28/0.64)</f>
        <v>#N/A</v>
      </c>
      <c r="G28" s="10" t="e">
        <f>D28/(28/1.34)</f>
        <v>#N/A</v>
      </c>
      <c r="H28" s="12" t="e">
        <f t="shared" ref="H28:H53" si="5">(E28*4)+(F28*9)+(G28*4)</f>
        <v>#N/A</v>
      </c>
      <c r="I28" s="1"/>
    </row>
    <row r="29" spans="1:14" ht="15.75" customHeight="1" thickTop="1" thickBot="1" x14ac:dyDescent="0.3">
      <c r="A29" s="1"/>
      <c r="B29" s="8" t="s">
        <v>61</v>
      </c>
      <c r="C29" s="8" t="s">
        <v>7</v>
      </c>
      <c r="D29" s="9" t="e">
        <f>VLOOKUP(B29,'Nutrition Plan'!$D$31:$F$41,3,0)</f>
        <v>#N/A</v>
      </c>
      <c r="E29" s="10" t="e">
        <f>D29/(100/18.94)</f>
        <v>#N/A</v>
      </c>
      <c r="F29" s="11" t="e">
        <f>D29/(100/26.05)</f>
        <v>#N/A</v>
      </c>
      <c r="G29" s="10" t="e">
        <f>D29/(100/6.94)</f>
        <v>#N/A</v>
      </c>
      <c r="H29" s="12" t="e">
        <f t="shared" si="5"/>
        <v>#N/A</v>
      </c>
      <c r="I29" s="1"/>
    </row>
    <row r="30" spans="1:14" ht="15.75" customHeight="1" thickTop="1" thickBot="1" x14ac:dyDescent="0.3">
      <c r="A30" s="1"/>
      <c r="B30" s="8" t="s">
        <v>62</v>
      </c>
      <c r="C30" s="8" t="s">
        <v>22</v>
      </c>
      <c r="D30" s="9" t="e">
        <f>VLOOKUP(B30,'Nutrition Plan'!$D$31:$F$41,3,0)</f>
        <v>#N/A</v>
      </c>
      <c r="E30" s="10" t="e">
        <f>D30/(1/4)</f>
        <v>#N/A</v>
      </c>
      <c r="F30" s="11" t="e">
        <f>D30/(1/6)</f>
        <v>#N/A</v>
      </c>
      <c r="G30" s="10">
        <f>0</f>
        <v>0</v>
      </c>
      <c r="H30" s="12" t="e">
        <f t="shared" si="5"/>
        <v>#N/A</v>
      </c>
      <c r="I30" s="1"/>
    </row>
    <row r="31" spans="1:14" ht="15.75" customHeight="1" thickTop="1" thickBot="1" x14ac:dyDescent="0.3">
      <c r="A31" s="1"/>
      <c r="B31" s="8" t="s">
        <v>63</v>
      </c>
      <c r="C31" s="8" t="s">
        <v>7</v>
      </c>
      <c r="D31" s="9" t="e">
        <f>VLOOKUP(B31,'Nutrition Plan'!$D$31:$F$41,3,0)</f>
        <v>#N/A</v>
      </c>
      <c r="E31" s="10" t="e">
        <f>D31/(100/14.21)</f>
        <v>#N/A</v>
      </c>
      <c r="F31" s="11" t="e">
        <f>D31/(100/21.28)</f>
        <v>#N/A</v>
      </c>
      <c r="G31" s="10" t="e">
        <f>D31/(100/4.09)</f>
        <v>#N/A</v>
      </c>
      <c r="H31" s="12" t="e">
        <f t="shared" si="5"/>
        <v>#N/A</v>
      </c>
      <c r="I31" s="1"/>
    </row>
    <row r="32" spans="1:14" ht="15.75" customHeight="1" thickTop="1" thickBot="1" x14ac:dyDescent="0.3">
      <c r="A32" s="1"/>
      <c r="B32" s="8" t="s">
        <v>64</v>
      </c>
      <c r="C32" s="8" t="s">
        <v>7</v>
      </c>
      <c r="D32" s="9" t="e">
        <f>VLOOKUP(B32,'Nutrition Plan'!$D$31:$F$41,3,0)</f>
        <v>#N/A</v>
      </c>
      <c r="E32" s="10" t="e">
        <f>D32/(28/6)</f>
        <v>#N/A</v>
      </c>
      <c r="F32" s="11" t="e">
        <f>D32/(28/4)</f>
        <v>#N/A</v>
      </c>
      <c r="G32" s="10" t="e">
        <f>D32/(28/3)</f>
        <v>#N/A</v>
      </c>
      <c r="H32" s="12" t="e">
        <f t="shared" si="5"/>
        <v>#N/A</v>
      </c>
      <c r="I32" s="1"/>
    </row>
    <row r="33" spans="1:9" ht="15.75" customHeight="1" thickTop="1" thickBot="1" x14ac:dyDescent="0.3">
      <c r="A33" s="1"/>
      <c r="B33" s="8" t="s">
        <v>65</v>
      </c>
      <c r="C33" s="8" t="s">
        <v>22</v>
      </c>
      <c r="D33" s="9" t="e">
        <f>VLOOKUP(B33,'Nutrition Plan'!$D$31:$F$41,3,0)</f>
        <v>#N/A</v>
      </c>
      <c r="E33" s="10" t="e">
        <f t="shared" ref="E33:E34" si="6">D33/(1/3)</f>
        <v>#N/A</v>
      </c>
      <c r="F33" s="11" t="e">
        <f>D33/(1/2.5)</f>
        <v>#N/A</v>
      </c>
      <c r="G33" s="10" t="e">
        <f t="shared" ref="G33:G34" si="7">D33/(1/1)</f>
        <v>#N/A</v>
      </c>
      <c r="H33" s="12" t="e">
        <f t="shared" si="5"/>
        <v>#N/A</v>
      </c>
      <c r="I33" s="1"/>
    </row>
    <row r="34" spans="1:9" ht="15.75" customHeight="1" thickTop="1" thickBot="1" x14ac:dyDescent="0.3">
      <c r="A34" s="1"/>
      <c r="B34" s="8" t="s">
        <v>66</v>
      </c>
      <c r="C34" s="8" t="s">
        <v>22</v>
      </c>
      <c r="D34" s="9" t="e">
        <f>VLOOKUP(B34,'Nutrition Plan'!$D$31:$F$41,3,0)</f>
        <v>#N/A</v>
      </c>
      <c r="E34" s="10" t="e">
        <f t="shared" si="6"/>
        <v>#N/A</v>
      </c>
      <c r="F34" s="11" t="e">
        <f>D34/(1/3)</f>
        <v>#N/A</v>
      </c>
      <c r="G34" s="10" t="e">
        <f t="shared" si="7"/>
        <v>#N/A</v>
      </c>
      <c r="H34" s="12" t="e">
        <f t="shared" si="5"/>
        <v>#N/A</v>
      </c>
      <c r="I34" s="1"/>
    </row>
    <row r="35" spans="1:9" ht="15.75" customHeight="1" thickTop="1" thickBot="1" x14ac:dyDescent="0.3">
      <c r="A35" s="1"/>
      <c r="B35" s="8" t="s">
        <v>67</v>
      </c>
      <c r="C35" s="8" t="s">
        <v>7</v>
      </c>
      <c r="D35" s="9" t="e">
        <f>VLOOKUP(B35,'Nutrition Plan'!$D$31:$F$41,3,0)</f>
        <v>#N/A</v>
      </c>
      <c r="E35" s="10" t="e">
        <f>D35/(28/9)</f>
        <v>#N/A</v>
      </c>
      <c r="F35" s="11">
        <f>0</f>
        <v>0</v>
      </c>
      <c r="G35" s="10" t="e">
        <f>D35/(28/2)</f>
        <v>#N/A</v>
      </c>
      <c r="H35" s="12" t="e">
        <f t="shared" si="5"/>
        <v>#N/A</v>
      </c>
      <c r="I35" s="1"/>
    </row>
    <row r="36" spans="1:9" ht="15.75" customHeight="1" thickTop="1" thickBot="1" x14ac:dyDescent="0.3">
      <c r="A36" s="1"/>
      <c r="B36" s="8" t="s">
        <v>68</v>
      </c>
      <c r="C36" s="8" t="s">
        <v>22</v>
      </c>
      <c r="D36" s="9" t="e">
        <f>VLOOKUP(B36,'Nutrition Plan'!$D$31:$F$41,3,0)</f>
        <v>#N/A</v>
      </c>
      <c r="E36" s="10" t="e">
        <f>D36/(1/5)</f>
        <v>#N/A</v>
      </c>
      <c r="F36" s="11" t="e">
        <f>D36/(1/5)</f>
        <v>#N/A</v>
      </c>
      <c r="G36" s="10">
        <f>0</f>
        <v>0</v>
      </c>
      <c r="H36" s="12" t="e">
        <f t="shared" si="5"/>
        <v>#N/A</v>
      </c>
      <c r="I36" s="1"/>
    </row>
    <row r="37" spans="1:9" ht="15.75" customHeight="1" thickTop="1" thickBot="1" x14ac:dyDescent="0.3">
      <c r="A37" s="1"/>
      <c r="B37" s="8" t="s">
        <v>69</v>
      </c>
      <c r="C37" s="8" t="s">
        <v>7</v>
      </c>
      <c r="D37" s="9" t="e">
        <f>VLOOKUP(B37,'Nutrition Plan'!$D$31:$F$41,3,0)</f>
        <v>#N/A</v>
      </c>
      <c r="E37" s="10" t="e">
        <f t="shared" ref="E37:E38" si="8">D37/(28/8)</f>
        <v>#N/A</v>
      </c>
      <c r="F37" s="11" t="e">
        <f>D37/(28/4.5)</f>
        <v>#N/A</v>
      </c>
      <c r="G37" s="10" t="e">
        <f t="shared" ref="G37:G38" si="9">D37/(28/1)</f>
        <v>#N/A</v>
      </c>
      <c r="H37" s="12" t="e">
        <f t="shared" si="5"/>
        <v>#N/A</v>
      </c>
      <c r="I37" s="1"/>
    </row>
    <row r="38" spans="1:9" ht="15.75" customHeight="1" thickTop="1" thickBot="1" x14ac:dyDescent="0.3">
      <c r="A38" s="1"/>
      <c r="B38" s="8" t="s">
        <v>71</v>
      </c>
      <c r="C38" s="8" t="s">
        <v>7</v>
      </c>
      <c r="D38" s="9" t="e">
        <f>VLOOKUP(B38,'Nutrition Plan'!$D$31:$F$41,3,0)</f>
        <v>#N/A</v>
      </c>
      <c r="E38" s="10" t="e">
        <f t="shared" si="8"/>
        <v>#N/A</v>
      </c>
      <c r="F38" s="11" t="e">
        <f>D38/(28/6)</f>
        <v>#N/A</v>
      </c>
      <c r="G38" s="10" t="e">
        <f t="shared" si="9"/>
        <v>#N/A</v>
      </c>
      <c r="H38" s="12" t="e">
        <f t="shared" si="5"/>
        <v>#N/A</v>
      </c>
      <c r="I38" s="1"/>
    </row>
    <row r="39" spans="1:9" ht="15.75" customHeight="1" thickTop="1" thickBot="1" x14ac:dyDescent="0.3">
      <c r="A39" s="1"/>
      <c r="B39" s="8" t="s">
        <v>72</v>
      </c>
      <c r="C39" s="8" t="s">
        <v>7</v>
      </c>
      <c r="D39" s="9" t="e">
        <f>VLOOKUP(B39,'Nutrition Plan'!$D$31:$F$41,3,0)</f>
        <v>#N/A</v>
      </c>
      <c r="E39" s="10" t="e">
        <f>D39/(100/11.39)</f>
        <v>#N/A</v>
      </c>
      <c r="F39" s="11" t="e">
        <f>D39/(100/7.91)</f>
        <v>#N/A</v>
      </c>
      <c r="G39" s="10" t="e">
        <f>D39/(100/5.4)</f>
        <v>#N/A</v>
      </c>
      <c r="H39" s="12" t="e">
        <f t="shared" si="5"/>
        <v>#N/A</v>
      </c>
      <c r="I39" s="1"/>
    </row>
    <row r="40" spans="1:9" ht="15.75" customHeight="1" thickTop="1" thickBot="1" x14ac:dyDescent="0.3">
      <c r="A40" s="1"/>
      <c r="B40" s="8" t="s">
        <v>73</v>
      </c>
      <c r="C40" s="8" t="s">
        <v>7</v>
      </c>
      <c r="D40" s="9" t="e">
        <f>VLOOKUP(B40,'Nutrition Plan'!$D$31:$F$41,3,0)</f>
        <v>#N/A</v>
      </c>
      <c r="E40" s="10" t="e">
        <f>D40/(100/9.8)</f>
        <v>#N/A</v>
      </c>
      <c r="F40" s="11">
        <f>0</f>
        <v>0</v>
      </c>
      <c r="G40" s="10" t="e">
        <f>D40/(100/1.6)</f>
        <v>#N/A</v>
      </c>
      <c r="H40" s="12" t="e">
        <f t="shared" si="5"/>
        <v>#N/A</v>
      </c>
      <c r="I40" s="1"/>
    </row>
    <row r="41" spans="1:9" ht="15.75" customHeight="1" thickTop="1" thickBot="1" x14ac:dyDescent="0.3">
      <c r="A41" s="1"/>
      <c r="B41" s="8" t="s">
        <v>74</v>
      </c>
      <c r="C41" s="8" t="s">
        <v>75</v>
      </c>
      <c r="D41" s="9" t="e">
        <f>VLOOKUP(B41,'Nutrition Plan'!$D$31:$F$41,3,0)</f>
        <v>#N/A</v>
      </c>
      <c r="E41" s="10" t="e">
        <f>D41/(1/3.6)</f>
        <v>#N/A</v>
      </c>
      <c r="F41" s="11" t="e">
        <f>D41/(1/0.06)</f>
        <v>#N/A</v>
      </c>
      <c r="G41" s="10" t="e">
        <f>D41/(1/0.24)</f>
        <v>#N/A</v>
      </c>
      <c r="H41" s="12" t="e">
        <f t="shared" si="5"/>
        <v>#N/A</v>
      </c>
      <c r="I41" s="1"/>
    </row>
    <row r="42" spans="1:9" ht="15.75" customHeight="1" thickTop="1" thickBot="1" x14ac:dyDescent="0.3">
      <c r="A42" s="1"/>
      <c r="B42" s="8" t="s">
        <v>77</v>
      </c>
      <c r="C42" s="8" t="s">
        <v>75</v>
      </c>
      <c r="D42" s="9" t="e">
        <f>VLOOKUP(B42,'Nutrition Plan'!$D$31:$F$41,3,0)</f>
        <v>#N/A</v>
      </c>
      <c r="E42" s="10" t="e">
        <f>D42/(1/6.28)</f>
        <v>#N/A</v>
      </c>
      <c r="F42" s="11" t="e">
        <f>D42/(1/4.76)</f>
        <v>#N/A</v>
      </c>
      <c r="G42" s="10" t="e">
        <f>D42/(1/0.36)</f>
        <v>#N/A</v>
      </c>
      <c r="H42" s="12" t="e">
        <f t="shared" si="5"/>
        <v>#N/A</v>
      </c>
      <c r="I42" s="1"/>
    </row>
    <row r="43" spans="1:9" ht="15.75" customHeight="1" thickTop="1" thickBot="1" x14ac:dyDescent="0.3">
      <c r="A43" s="1"/>
      <c r="B43" s="8" t="s">
        <v>78</v>
      </c>
      <c r="C43" s="8" t="s">
        <v>75</v>
      </c>
      <c r="D43" s="9" t="e">
        <f>VLOOKUP(B43,'Nutrition Plan'!$D$31:$F$41,3,0)</f>
        <v>#N/A</v>
      </c>
      <c r="E43" s="10" t="e">
        <f>D43/(1/7)</f>
        <v>#N/A</v>
      </c>
      <c r="F43" s="11" t="e">
        <f>D43/(1/4.5)</f>
        <v>#N/A</v>
      </c>
      <c r="G43" s="10">
        <v>0</v>
      </c>
      <c r="H43" s="12" t="e">
        <f t="shared" si="5"/>
        <v>#N/A</v>
      </c>
      <c r="I43" s="1"/>
    </row>
    <row r="44" spans="1:9" ht="15.75" customHeight="1" thickTop="1" thickBot="1" x14ac:dyDescent="0.3">
      <c r="A44" s="1"/>
      <c r="B44" s="8" t="s">
        <v>79</v>
      </c>
      <c r="C44" s="8" t="s">
        <v>7</v>
      </c>
      <c r="D44" s="9" t="e">
        <f>VLOOKUP(B44,'Nutrition Plan'!$D$31:$F$41,3,0)</f>
        <v>#N/A</v>
      </c>
      <c r="E44" s="10" t="e">
        <f t="shared" ref="E44:E45" si="10">D44/(46/5)</f>
        <v>#N/A</v>
      </c>
      <c r="F44" s="11">
        <f t="shared" ref="F44:F45" si="11">0</f>
        <v>0</v>
      </c>
      <c r="G44" s="10" t="e">
        <f>D44/(46/0.75)</f>
        <v>#N/A</v>
      </c>
      <c r="H44" s="12" t="e">
        <f t="shared" si="5"/>
        <v>#N/A</v>
      </c>
      <c r="I44" s="1"/>
    </row>
    <row r="45" spans="1:9" ht="15.75" customHeight="1" thickTop="1" thickBot="1" x14ac:dyDescent="0.3">
      <c r="A45" s="1"/>
      <c r="B45" s="8" t="s">
        <v>80</v>
      </c>
      <c r="C45" s="8" t="s">
        <v>7</v>
      </c>
      <c r="D45" s="9" t="e">
        <f>VLOOKUP(B45,'Nutrition Plan'!$D$31:$F$41,3,0)</f>
        <v>#N/A</v>
      </c>
      <c r="E45" s="10" t="e">
        <f t="shared" si="10"/>
        <v>#N/A</v>
      </c>
      <c r="F45" s="11">
        <f t="shared" si="11"/>
        <v>0</v>
      </c>
      <c r="G45" s="10">
        <f>0</f>
        <v>0</v>
      </c>
      <c r="H45" s="12" t="e">
        <f t="shared" si="5"/>
        <v>#N/A</v>
      </c>
      <c r="I45" s="1"/>
    </row>
    <row r="46" spans="1:9" ht="15.75" customHeight="1" thickTop="1" thickBot="1" x14ac:dyDescent="0.3">
      <c r="A46" s="1"/>
      <c r="B46" s="8" t="s">
        <v>81</v>
      </c>
      <c r="C46" s="8" t="s">
        <v>82</v>
      </c>
      <c r="D46" s="9" t="e">
        <f>VLOOKUP(B46,'Nutrition Plan'!$D$31:$F$41,3,0)</f>
        <v>#N/A</v>
      </c>
      <c r="E46" s="10" t="e">
        <f t="shared" ref="E46:E47" si="12">D46/(8/8)</f>
        <v>#N/A</v>
      </c>
      <c r="F46" s="11" t="e">
        <f>D46/(8/2.4)</f>
        <v>#N/A</v>
      </c>
      <c r="G46" s="10" t="e">
        <f t="shared" ref="G46:G47" si="13">D46/(8/12)</f>
        <v>#N/A</v>
      </c>
      <c r="H46" s="12" t="e">
        <f t="shared" si="5"/>
        <v>#N/A</v>
      </c>
      <c r="I46" s="1"/>
    </row>
    <row r="47" spans="1:9" ht="15.75" customHeight="1" thickTop="1" thickBot="1" x14ac:dyDescent="0.3">
      <c r="A47" s="1"/>
      <c r="B47" s="8" t="s">
        <v>83</v>
      </c>
      <c r="C47" s="8" t="s">
        <v>82</v>
      </c>
      <c r="D47" s="9" t="e">
        <f>VLOOKUP(B47,'Nutrition Plan'!$D$31:$F$41,3,0)</f>
        <v>#N/A</v>
      </c>
      <c r="E47" s="10" t="e">
        <f t="shared" si="12"/>
        <v>#N/A</v>
      </c>
      <c r="F47" s="11" t="e">
        <f>D47/(8/4.9)</f>
        <v>#N/A</v>
      </c>
      <c r="G47" s="10" t="e">
        <f t="shared" si="13"/>
        <v>#N/A</v>
      </c>
      <c r="H47" s="12" t="e">
        <f t="shared" si="5"/>
        <v>#N/A</v>
      </c>
      <c r="I47" s="1"/>
    </row>
    <row r="48" spans="1:9" ht="15.75" customHeight="1" thickTop="1" thickBot="1" x14ac:dyDescent="0.3">
      <c r="A48" s="1"/>
      <c r="B48" s="8" t="s">
        <v>84</v>
      </c>
      <c r="C48" s="8" t="s">
        <v>82</v>
      </c>
      <c r="D48" s="9" t="e">
        <f>VLOOKUP(B48,'Nutrition Plan'!$D$31:$F$41,3,0)</f>
        <v>#N/A</v>
      </c>
      <c r="E48" s="10" t="e">
        <f t="shared" ref="E48:E50" si="14">D48/(8/1)</f>
        <v>#N/A</v>
      </c>
      <c r="F48" s="11" t="e">
        <f>D48/(8/2.5)</f>
        <v>#N/A</v>
      </c>
      <c r="G48" s="10" t="e">
        <f t="shared" ref="G48:G50" si="15">D48/(8/1)</f>
        <v>#N/A</v>
      </c>
      <c r="H48" s="12" t="e">
        <f t="shared" si="5"/>
        <v>#N/A</v>
      </c>
      <c r="I48" s="1"/>
    </row>
    <row r="49" spans="1:9" ht="15.75" customHeight="1" thickTop="1" thickBot="1" x14ac:dyDescent="0.3">
      <c r="A49" s="1"/>
      <c r="B49" s="8" t="s">
        <v>85</v>
      </c>
      <c r="C49" s="8" t="s">
        <v>82</v>
      </c>
      <c r="D49" s="9" t="e">
        <f>VLOOKUP(B49,'Nutrition Plan'!$D$31:$F$41,3,0)</f>
        <v>#N/A</v>
      </c>
      <c r="E49" s="10" t="e">
        <f t="shared" si="14"/>
        <v>#N/A</v>
      </c>
      <c r="F49" s="11" t="e">
        <f>D49/(8/2)</f>
        <v>#N/A</v>
      </c>
      <c r="G49" s="10" t="e">
        <f t="shared" si="15"/>
        <v>#N/A</v>
      </c>
      <c r="H49" s="12" t="e">
        <f t="shared" si="5"/>
        <v>#N/A</v>
      </c>
      <c r="I49" s="1"/>
    </row>
    <row r="50" spans="1:9" ht="15.75" customHeight="1" thickTop="1" thickBot="1" x14ac:dyDescent="0.3">
      <c r="A50" s="1"/>
      <c r="B50" s="8" t="s">
        <v>86</v>
      </c>
      <c r="C50" s="8" t="s">
        <v>82</v>
      </c>
      <c r="D50" s="9" t="e">
        <f>VLOOKUP(B50,'Nutrition Plan'!$D$31:$F$41,3,0)</f>
        <v>#N/A</v>
      </c>
      <c r="E50" s="10" t="e">
        <f t="shared" si="14"/>
        <v>#N/A</v>
      </c>
      <c r="F50" s="11" t="e">
        <f>D50/(8/3.5)</f>
        <v>#N/A</v>
      </c>
      <c r="G50" s="10" t="e">
        <f t="shared" si="15"/>
        <v>#N/A</v>
      </c>
      <c r="H50" s="12" t="e">
        <f t="shared" si="5"/>
        <v>#N/A</v>
      </c>
      <c r="I50" s="1"/>
    </row>
    <row r="51" spans="1:9" ht="15.75" customHeight="1" thickTop="1" thickBot="1" x14ac:dyDescent="0.3">
      <c r="A51" s="1"/>
      <c r="B51" s="8" t="s">
        <v>87</v>
      </c>
      <c r="C51" s="8" t="s">
        <v>82</v>
      </c>
      <c r="D51" s="9" t="e">
        <f>VLOOKUP(B51,'Nutrition Plan'!$D$31:$F$41,3,0)</f>
        <v>#N/A</v>
      </c>
      <c r="E51" s="10" t="e">
        <f t="shared" ref="E51:E52" si="16">D51/(8/8)</f>
        <v>#N/A</v>
      </c>
      <c r="F51" s="11" t="e">
        <f>D51/(8/0.2)</f>
        <v>#N/A</v>
      </c>
      <c r="G51" s="10" t="e">
        <f t="shared" ref="G51:G52" si="17">D51/(8/12)</f>
        <v>#N/A</v>
      </c>
      <c r="H51" s="12" t="e">
        <f t="shared" si="5"/>
        <v>#N/A</v>
      </c>
      <c r="I51" s="1"/>
    </row>
    <row r="52" spans="1:9" ht="15.75" customHeight="1" thickTop="1" thickBot="1" x14ac:dyDescent="0.3">
      <c r="A52" s="1"/>
      <c r="B52" s="8" t="s">
        <v>89</v>
      </c>
      <c r="C52" s="8" t="s">
        <v>82</v>
      </c>
      <c r="D52" s="9" t="e">
        <f>VLOOKUP(B52,'Nutrition Plan'!$D$31:$F$41,3,0)</f>
        <v>#N/A</v>
      </c>
      <c r="E52" s="10" t="e">
        <f t="shared" si="16"/>
        <v>#N/A</v>
      </c>
      <c r="F52" s="11" t="e">
        <f>D52/(8/8)</f>
        <v>#N/A</v>
      </c>
      <c r="G52" s="10" t="e">
        <f t="shared" si="17"/>
        <v>#N/A</v>
      </c>
      <c r="H52" s="12" t="e">
        <f t="shared" si="5"/>
        <v>#N/A</v>
      </c>
      <c r="I52" s="1"/>
    </row>
    <row r="53" spans="1:9" ht="15.75" customHeight="1" thickTop="1" thickBot="1" x14ac:dyDescent="0.3">
      <c r="A53" s="1"/>
      <c r="B53" s="8" t="s">
        <v>90</v>
      </c>
      <c r="C53" s="8" t="s">
        <v>7</v>
      </c>
      <c r="D53" s="9" t="e">
        <f>VLOOKUP(B53,'Nutrition Plan'!$D$31:$F$41,3,0)</f>
        <v>#N/A</v>
      </c>
      <c r="E53" s="10" t="e">
        <f>D53/(224/22.7)</f>
        <v>#N/A</v>
      </c>
      <c r="F53" s="11">
        <f>0</f>
        <v>0</v>
      </c>
      <c r="G53" s="10" t="e">
        <f>D53/(224/10.6)</f>
        <v>#N/A</v>
      </c>
      <c r="H53" s="12" t="e">
        <f t="shared" si="5"/>
        <v>#N/A</v>
      </c>
      <c r="I53" s="1"/>
    </row>
    <row r="54" spans="1:9" ht="15.75" customHeight="1" thickTop="1" x14ac:dyDescent="0.3">
      <c r="A54" s="1"/>
      <c r="B54" s="173" t="s">
        <v>5</v>
      </c>
      <c r="C54" s="174"/>
      <c r="D54" s="174"/>
      <c r="E54" s="174"/>
      <c r="F54" s="174"/>
      <c r="G54" s="174"/>
      <c r="H54" s="134"/>
      <c r="I54" s="1"/>
    </row>
    <row r="55" spans="1:9" ht="15.75" customHeight="1" thickBot="1" x14ac:dyDescent="0.3">
      <c r="A55" s="1"/>
      <c r="B55" s="8" t="s">
        <v>91</v>
      </c>
      <c r="C55" s="8" t="s">
        <v>7</v>
      </c>
      <c r="D55" s="9" t="e">
        <f>VLOOKUP(B55,'Nutrition Plan'!$D$31:$F$41,3,0)</f>
        <v>#N/A</v>
      </c>
      <c r="E55" s="10" t="e">
        <f>D55/(32/6)</f>
        <v>#N/A</v>
      </c>
      <c r="F55" s="11" t="e">
        <f>D55/(32/16)</f>
        <v>#N/A</v>
      </c>
      <c r="G55" s="10" t="e">
        <f>D55/(32/7)</f>
        <v>#N/A</v>
      </c>
      <c r="H55" s="12" t="e">
        <f t="shared" ref="H55:H71" si="18">(E55*4)+(F55*9)+(G55*4)</f>
        <v>#N/A</v>
      </c>
      <c r="I55" s="1"/>
    </row>
    <row r="56" spans="1:9" ht="15.75" customHeight="1" thickTop="1" thickBot="1" x14ac:dyDescent="0.3">
      <c r="A56" s="1"/>
      <c r="B56" s="8" t="s">
        <v>92</v>
      </c>
      <c r="C56" s="8" t="s">
        <v>7</v>
      </c>
      <c r="D56" s="9" t="e">
        <f>VLOOKUP(B56,'Nutrition Plan'!$D$31:$F$41,3,0)</f>
        <v>#N/A</v>
      </c>
      <c r="E56" s="10" t="e">
        <f>D56/(32/7)</f>
        <v>#N/A</v>
      </c>
      <c r="F56" s="11" t="e">
        <f>D56/(32/18)</f>
        <v>#N/A</v>
      </c>
      <c r="G56" s="10" t="e">
        <f>D56/(32/6)</f>
        <v>#N/A</v>
      </c>
      <c r="H56" s="12" t="e">
        <f t="shared" si="18"/>
        <v>#N/A</v>
      </c>
      <c r="I56" s="1"/>
    </row>
    <row r="57" spans="1:9" ht="15.75" customHeight="1" thickTop="1" thickBot="1" x14ac:dyDescent="0.3">
      <c r="A57" s="1"/>
      <c r="B57" s="8" t="s">
        <v>93</v>
      </c>
      <c r="C57" s="8" t="s">
        <v>7</v>
      </c>
      <c r="D57" s="9" t="e">
        <f>VLOOKUP(B57,'Nutrition Plan'!$D$31:$F$41,3,0)</f>
        <v>#N/A</v>
      </c>
      <c r="E57" s="10" t="e">
        <f>D57/(12/4)</f>
        <v>#N/A</v>
      </c>
      <c r="F57" s="11" t="e">
        <f>D57/(12/1.5)</f>
        <v>#N/A</v>
      </c>
      <c r="G57" s="10" t="e">
        <f>D57/(12/5)</f>
        <v>#N/A</v>
      </c>
      <c r="H57" s="12" t="e">
        <f t="shared" si="18"/>
        <v>#N/A</v>
      </c>
      <c r="I57" s="1"/>
    </row>
    <row r="58" spans="1:9" ht="15.75" customHeight="1" thickTop="1" thickBot="1" x14ac:dyDescent="0.3">
      <c r="A58" s="1"/>
      <c r="B58" s="8" t="s">
        <v>95</v>
      </c>
      <c r="C58" s="8" t="s">
        <v>7</v>
      </c>
      <c r="D58" s="9" t="e">
        <f>VLOOKUP(B58,'Nutrition Plan'!$D$31:$F$41,3,0)</f>
        <v>#N/A</v>
      </c>
      <c r="E58" s="10" t="e">
        <f>D58/(14/7)</f>
        <v>#N/A</v>
      </c>
      <c r="F58" s="11" t="e">
        <f>D58/(14/2)</f>
        <v>#N/A</v>
      </c>
      <c r="G58" s="10" t="e">
        <f>D58/(14/3)</f>
        <v>#N/A</v>
      </c>
      <c r="H58" s="12" t="e">
        <f t="shared" si="18"/>
        <v>#N/A</v>
      </c>
      <c r="I58" s="1"/>
    </row>
    <row r="59" spans="1:9" ht="15.75" customHeight="1" thickTop="1" thickBot="1" x14ac:dyDescent="0.3">
      <c r="A59" s="1"/>
      <c r="B59" s="8" t="s">
        <v>96</v>
      </c>
      <c r="C59" s="8" t="s">
        <v>7</v>
      </c>
      <c r="D59" s="9" t="e">
        <f>VLOOKUP(B59,'Nutrition Plan'!$D$31:$F$41,3,0)</f>
        <v>#N/A</v>
      </c>
      <c r="E59" s="10" t="e">
        <f>D59/(12/6)</f>
        <v>#N/A</v>
      </c>
      <c r="F59" s="11" t="e">
        <f>D59/(12/1.5)</f>
        <v>#N/A</v>
      </c>
      <c r="G59" s="10" t="e">
        <f>D59/(12/3)</f>
        <v>#N/A</v>
      </c>
      <c r="H59" s="12" t="e">
        <f t="shared" si="18"/>
        <v>#N/A</v>
      </c>
      <c r="I59" s="1"/>
    </row>
    <row r="60" spans="1:9" ht="15.75" customHeight="1" thickTop="1" thickBot="1" x14ac:dyDescent="0.3">
      <c r="A60" s="1"/>
      <c r="B60" s="8" t="s">
        <v>97</v>
      </c>
      <c r="C60" s="8" t="s">
        <v>7</v>
      </c>
      <c r="D60" s="9" t="e">
        <f>VLOOKUP(B60,'Nutrition Plan'!$D$31:$F$41,3,0)</f>
        <v>#N/A</v>
      </c>
      <c r="E60" s="10" t="e">
        <f>D60/(32/7)</f>
        <v>#N/A</v>
      </c>
      <c r="F60" s="11" t="e">
        <f>D60/(32/16)</f>
        <v>#N/A</v>
      </c>
      <c r="G60" s="10" t="e">
        <f>D60/(32/6)</f>
        <v>#N/A</v>
      </c>
      <c r="H60" s="12" t="e">
        <f t="shared" si="18"/>
        <v>#N/A</v>
      </c>
      <c r="I60" s="1"/>
    </row>
    <row r="61" spans="1:9" ht="15.75" customHeight="1" thickTop="1" thickBot="1" x14ac:dyDescent="0.3">
      <c r="A61" s="1"/>
      <c r="B61" s="8" t="s">
        <v>98</v>
      </c>
      <c r="C61" s="8" t="s">
        <v>7</v>
      </c>
      <c r="D61" s="9" t="e">
        <f>VLOOKUP(B61,'Nutrition Plan'!$D$31:$F$41,3,0)</f>
        <v>#N/A</v>
      </c>
      <c r="E61" s="10" t="e">
        <f>D61/(28/6)</f>
        <v>#N/A</v>
      </c>
      <c r="F61" s="11" t="e">
        <f>D61/(28/14)</f>
        <v>#N/A</v>
      </c>
      <c r="G61" s="10" t="e">
        <f>D61/(28/5.6)</f>
        <v>#N/A</v>
      </c>
      <c r="H61" s="12" t="e">
        <f t="shared" si="18"/>
        <v>#N/A</v>
      </c>
      <c r="I61" s="1"/>
    </row>
    <row r="62" spans="1:9" ht="15.75" customHeight="1" thickTop="1" thickBot="1" x14ac:dyDescent="0.3">
      <c r="A62" s="1"/>
      <c r="B62" s="8" t="s">
        <v>99</v>
      </c>
      <c r="C62" s="8" t="s">
        <v>7</v>
      </c>
      <c r="D62" s="9" t="e">
        <f>VLOOKUP(B62,'Nutrition Plan'!$D$31:$F$41,3,0)</f>
        <v>#N/A</v>
      </c>
      <c r="E62" s="10" t="e">
        <f>D62/(100/18.22)</f>
        <v>#N/A</v>
      </c>
      <c r="F62" s="11" t="e">
        <f>D62/(100/43.85)</f>
        <v>#N/A</v>
      </c>
      <c r="G62" s="10" t="e">
        <f>D62/(100/30.19)</f>
        <v>#N/A</v>
      </c>
      <c r="H62" s="12" t="e">
        <f t="shared" si="18"/>
        <v>#N/A</v>
      </c>
      <c r="I62" s="1"/>
    </row>
    <row r="63" spans="1:9" ht="15.75" customHeight="1" thickTop="1" thickBot="1" x14ac:dyDescent="0.3">
      <c r="A63" s="1"/>
      <c r="B63" s="8" t="s">
        <v>100</v>
      </c>
      <c r="C63" s="8" t="s">
        <v>7</v>
      </c>
      <c r="D63" s="9" t="e">
        <f>VLOOKUP(B63,'Nutrition Plan'!$D$31:$F$41,3,0)</f>
        <v>#N/A</v>
      </c>
      <c r="E63" s="10" t="e">
        <f>D63/(28/7)</f>
        <v>#N/A</v>
      </c>
      <c r="F63" s="11" t="e">
        <f>D63/(28/14)</f>
        <v>#N/A</v>
      </c>
      <c r="G63" s="10" t="e">
        <f>D63/(28/5)</f>
        <v>#N/A</v>
      </c>
      <c r="H63" s="12" t="e">
        <f t="shared" si="18"/>
        <v>#N/A</v>
      </c>
      <c r="I63" s="1"/>
    </row>
    <row r="64" spans="1:9" ht="15.75" customHeight="1" thickTop="1" thickBot="1" x14ac:dyDescent="0.3">
      <c r="A64" s="1"/>
      <c r="B64" s="8" t="s">
        <v>101</v>
      </c>
      <c r="C64" s="8" t="s">
        <v>7</v>
      </c>
      <c r="D64" s="9" t="e">
        <f>VLOOKUP(B64,'Nutrition Plan'!$D$31:$F$41,3,0)</f>
        <v>#N/A</v>
      </c>
      <c r="E64" s="10" t="e">
        <f>D64/(28/6)</f>
        <v>#N/A</v>
      </c>
      <c r="F64" s="11" t="e">
        <f>D64/(28/12)</f>
        <v>#N/A</v>
      </c>
      <c r="G64" s="10" t="e">
        <f>D64/(28/8)</f>
        <v>#N/A</v>
      </c>
      <c r="H64" s="12" t="e">
        <f t="shared" si="18"/>
        <v>#N/A</v>
      </c>
      <c r="I64" s="1"/>
    </row>
    <row r="65" spans="1:9" ht="15.75" customHeight="1" thickTop="1" thickBot="1" x14ac:dyDescent="0.3">
      <c r="A65" s="1"/>
      <c r="B65" s="8" t="s">
        <v>102</v>
      </c>
      <c r="C65" s="8" t="s">
        <v>7</v>
      </c>
      <c r="D65" s="9" t="e">
        <f>VLOOKUP(B65,'Nutrition Plan'!$D$31:$F$41,3,0)</f>
        <v>#N/A</v>
      </c>
      <c r="E65" s="10" t="e">
        <f>D65/(28/4)</f>
        <v>#N/A</v>
      </c>
      <c r="F65" s="11" t="e">
        <f>D65/(28/18)</f>
        <v>#N/A</v>
      </c>
      <c r="G65" s="10" t="e">
        <f>D65/(28/4)</f>
        <v>#N/A</v>
      </c>
      <c r="H65" s="12" t="e">
        <f t="shared" si="18"/>
        <v>#N/A</v>
      </c>
      <c r="I65" s="1"/>
    </row>
    <row r="66" spans="1:9" ht="15.75" customHeight="1" thickTop="1" thickBot="1" x14ac:dyDescent="0.3">
      <c r="A66" s="1"/>
      <c r="B66" s="8" t="s">
        <v>103</v>
      </c>
      <c r="C66" s="8" t="s">
        <v>7</v>
      </c>
      <c r="D66" s="9" t="e">
        <f>VLOOKUP(B66,'Nutrition Plan'!$D$31:$F$41,3,0)</f>
        <v>#N/A</v>
      </c>
      <c r="E66" s="10">
        <f t="shared" ref="E66:E67" si="19">0</f>
        <v>0</v>
      </c>
      <c r="F66" s="11" t="e">
        <f t="shared" ref="F66:F67" si="20">D66</f>
        <v>#N/A</v>
      </c>
      <c r="G66" s="10">
        <f t="shared" ref="G66:G67" si="21">0</f>
        <v>0</v>
      </c>
      <c r="H66" s="12" t="e">
        <f t="shared" si="18"/>
        <v>#N/A</v>
      </c>
      <c r="I66" s="1"/>
    </row>
    <row r="67" spans="1:9" ht="15.75" customHeight="1" thickTop="1" thickBot="1" x14ac:dyDescent="0.3">
      <c r="A67" s="1"/>
      <c r="B67" s="8" t="s">
        <v>104</v>
      </c>
      <c r="C67" s="8" t="s">
        <v>7</v>
      </c>
      <c r="D67" s="9" t="e">
        <f>VLOOKUP(B67,'Nutrition Plan'!$D$31:$F$41,3,0)</f>
        <v>#N/A</v>
      </c>
      <c r="E67" s="10">
        <f t="shared" si="19"/>
        <v>0</v>
      </c>
      <c r="F67" s="11" t="e">
        <f t="shared" si="20"/>
        <v>#N/A</v>
      </c>
      <c r="G67" s="10">
        <f t="shared" si="21"/>
        <v>0</v>
      </c>
      <c r="H67" s="12" t="e">
        <f t="shared" si="18"/>
        <v>#N/A</v>
      </c>
      <c r="I67" s="1"/>
    </row>
    <row r="68" spans="1:9" ht="15.75" customHeight="1" thickTop="1" thickBot="1" x14ac:dyDescent="0.3">
      <c r="A68" s="1"/>
      <c r="B68" s="8" t="s">
        <v>105</v>
      </c>
      <c r="C68" s="8" t="s">
        <v>7</v>
      </c>
      <c r="D68" s="9" t="e">
        <f>VLOOKUP(B68,'Nutrition Plan'!$D$31:$F$41,3,0)</f>
        <v>#N/A</v>
      </c>
      <c r="E68" s="10" t="e">
        <f>D68/(100/16.54)</f>
        <v>#N/A</v>
      </c>
      <c r="F68" s="11" t="e">
        <f>D68/(100/30.74)</f>
        <v>#N/A</v>
      </c>
      <c r="G68" s="10" t="e">
        <f>D68/(100/42.12)</f>
        <v>#N/A</v>
      </c>
      <c r="H68" s="12" t="e">
        <f t="shared" si="18"/>
        <v>#N/A</v>
      </c>
      <c r="I68" s="1"/>
    </row>
    <row r="69" spans="1:9" ht="15.75" customHeight="1" thickTop="1" thickBot="1" x14ac:dyDescent="0.3">
      <c r="A69" s="1"/>
      <c r="B69" s="8" t="s">
        <v>106</v>
      </c>
      <c r="C69" s="8" t="s">
        <v>7</v>
      </c>
      <c r="D69" s="9" t="e">
        <f>VLOOKUP(B69,'Nutrition Plan'!$D$31:$F$41,3,0)</f>
        <v>#N/A</v>
      </c>
      <c r="E69" s="10" t="e">
        <f>D69/(100/18.29)</f>
        <v>#N/A</v>
      </c>
      <c r="F69" s="11" t="e">
        <f>D69/(100/42.16)</f>
        <v>#N/A</v>
      </c>
      <c r="G69" s="10" t="e">
        <f>D69/(100/28.88)</f>
        <v>#N/A</v>
      </c>
      <c r="H69" s="12" t="e">
        <f t="shared" si="18"/>
        <v>#N/A</v>
      </c>
      <c r="I69" s="1"/>
    </row>
    <row r="70" spans="1:9" ht="15.75" customHeight="1" thickTop="1" thickBot="1" x14ac:dyDescent="0.3">
      <c r="A70" s="1"/>
      <c r="B70" s="8" t="s">
        <v>107</v>
      </c>
      <c r="C70" s="8" t="s">
        <v>7</v>
      </c>
      <c r="D70" s="9" t="e">
        <f>VLOOKUP(B70,'Nutrition Plan'!$D$31:$F$41,3,0)</f>
        <v>#N/A</v>
      </c>
      <c r="E70" s="10" t="e">
        <f>D70/(100/31.56)</f>
        <v>#N/A</v>
      </c>
      <c r="F70" s="11" t="e">
        <f>D70/(100/48.75)</f>
        <v>#N/A</v>
      </c>
      <c r="G70" s="10" t="e">
        <f>D70/(100/8.67)</f>
        <v>#N/A</v>
      </c>
      <c r="H70" s="12" t="e">
        <f t="shared" si="18"/>
        <v>#N/A</v>
      </c>
      <c r="I70" s="1"/>
    </row>
    <row r="71" spans="1:9" ht="15.75" customHeight="1" thickTop="1" thickBot="1" x14ac:dyDescent="0.3">
      <c r="A71" s="1"/>
      <c r="B71" s="8" t="s">
        <v>108</v>
      </c>
      <c r="C71" s="8" t="s">
        <v>7</v>
      </c>
      <c r="D71" s="9" t="e">
        <f>VLOOKUP(B71,'Nutrition Plan'!$D$31:$F$41,3,0)</f>
        <v>#N/A</v>
      </c>
      <c r="E71" s="10" t="e">
        <f>D71/(28/6)</f>
        <v>#N/A</v>
      </c>
      <c r="F71" s="11" t="e">
        <f>D71/(28/14)</f>
        <v>#N/A</v>
      </c>
      <c r="G71" s="10" t="e">
        <f>D71/(28/6)</f>
        <v>#N/A</v>
      </c>
      <c r="H71" s="12" t="e">
        <f t="shared" si="18"/>
        <v>#N/A</v>
      </c>
      <c r="I71" s="1"/>
    </row>
    <row r="72" spans="1:9" ht="15.75" customHeight="1" thickTop="1" x14ac:dyDescent="0.3">
      <c r="A72" s="1"/>
      <c r="B72" s="173" t="s">
        <v>33</v>
      </c>
      <c r="C72" s="174"/>
      <c r="D72" s="174"/>
      <c r="E72" s="174"/>
      <c r="F72" s="174"/>
      <c r="G72" s="174"/>
      <c r="H72" s="134"/>
      <c r="I72" s="1"/>
    </row>
    <row r="73" spans="1:9" ht="15.75" customHeight="1" thickBot="1" x14ac:dyDescent="0.3">
      <c r="A73" s="1"/>
      <c r="B73" s="8" t="s">
        <v>180</v>
      </c>
      <c r="C73" s="8" t="s">
        <v>7</v>
      </c>
      <c r="D73" s="9" t="e">
        <f>VLOOKUP(B73,'Nutrition Plan'!$D$31:$F$41,3,0)</f>
        <v>#N/A</v>
      </c>
      <c r="E73" s="10" t="e">
        <f>D73/(28/6)</f>
        <v>#N/A</v>
      </c>
      <c r="F73" s="11" t="e">
        <f>D73/(28/0.2)</f>
        <v>#N/A</v>
      </c>
      <c r="G73" s="10">
        <v>0</v>
      </c>
      <c r="H73" s="12" t="e">
        <f t="shared" ref="H73:H108" si="22">(E73*4)+(F73*9)+(G73*4)</f>
        <v>#N/A</v>
      </c>
      <c r="I73" s="1"/>
    </row>
    <row r="74" spans="1:9" ht="15.75" customHeight="1" thickTop="1" thickBot="1" x14ac:dyDescent="0.3">
      <c r="A74" s="1"/>
      <c r="B74" s="8" t="s">
        <v>181</v>
      </c>
      <c r="C74" s="8" t="s">
        <v>7</v>
      </c>
      <c r="D74" s="9" t="e">
        <f>VLOOKUP(B74,'Nutrition Plan'!$D$31:$F$41,3,0)</f>
        <v>#N/A</v>
      </c>
      <c r="E74" s="10" t="e">
        <f>D74/(28/5)</f>
        <v>#N/A</v>
      </c>
      <c r="F74" s="11" t="e">
        <f>D74/(28/1)</f>
        <v>#N/A</v>
      </c>
      <c r="G74" s="10">
        <v>0</v>
      </c>
      <c r="H74" s="12" t="e">
        <f t="shared" si="22"/>
        <v>#N/A</v>
      </c>
      <c r="I74" s="1"/>
    </row>
    <row r="75" spans="1:9" ht="15.75" customHeight="1" thickTop="1" thickBot="1" x14ac:dyDescent="0.3">
      <c r="A75" s="1"/>
      <c r="B75" s="8" t="s">
        <v>182</v>
      </c>
      <c r="C75" s="8" t="s">
        <v>7</v>
      </c>
      <c r="D75" s="9" t="e">
        <f>VLOOKUP(B75,'Nutrition Plan'!$D$31:$F$41,3,0)</f>
        <v>#N/A</v>
      </c>
      <c r="E75" s="10" t="e">
        <f>D75/(28/6.5)</f>
        <v>#N/A</v>
      </c>
      <c r="F75" s="11" t="e">
        <f>D75/(28/0.2)</f>
        <v>#N/A</v>
      </c>
      <c r="G75" s="10">
        <v>0</v>
      </c>
      <c r="H75" s="12" t="e">
        <f t="shared" si="22"/>
        <v>#N/A</v>
      </c>
      <c r="I75" s="1"/>
    </row>
    <row r="76" spans="1:9" ht="15.75" customHeight="1" thickTop="1" thickBot="1" x14ac:dyDescent="0.3">
      <c r="A76" s="1"/>
      <c r="B76" s="8" t="s">
        <v>183</v>
      </c>
      <c r="C76" s="8" t="s">
        <v>7</v>
      </c>
      <c r="D76" s="9" t="e">
        <f>VLOOKUP(B76,'Nutrition Plan'!$D$31:$F$41,3,0)</f>
        <v>#N/A</v>
      </c>
      <c r="E76" s="10" t="e">
        <f>D76/(28/5)</f>
        <v>#N/A</v>
      </c>
      <c r="F76" s="11" t="e">
        <f>D76/(28/1)</f>
        <v>#N/A</v>
      </c>
      <c r="G76" s="10">
        <v>0</v>
      </c>
      <c r="H76" s="12" t="e">
        <f t="shared" si="22"/>
        <v>#N/A</v>
      </c>
      <c r="I76" s="1"/>
    </row>
    <row r="77" spans="1:9" ht="15.75" customHeight="1" thickTop="1" thickBot="1" x14ac:dyDescent="0.3">
      <c r="A77" s="1"/>
      <c r="B77" s="8" t="s">
        <v>184</v>
      </c>
      <c r="C77" s="8" t="s">
        <v>7</v>
      </c>
      <c r="D77" s="9" t="e">
        <f>VLOOKUP(B77,'Nutrition Plan'!$D$31:$F$41,3,0)</f>
        <v>#N/A</v>
      </c>
      <c r="E77" s="10" t="e">
        <f>D77/(28/6)</f>
        <v>#N/A</v>
      </c>
      <c r="F77" s="11" t="e">
        <f>D77/(28/0.2)</f>
        <v>#N/A</v>
      </c>
      <c r="G77" s="10">
        <v>0</v>
      </c>
      <c r="H77" s="12" t="e">
        <f t="shared" si="22"/>
        <v>#N/A</v>
      </c>
      <c r="I77" s="1"/>
    </row>
    <row r="78" spans="1:9" ht="15.75" customHeight="1" thickTop="1" thickBot="1" x14ac:dyDescent="0.3">
      <c r="A78" s="1"/>
      <c r="B78" s="8" t="s">
        <v>185</v>
      </c>
      <c r="C78" s="8" t="s">
        <v>7</v>
      </c>
      <c r="D78" s="9" t="e">
        <f>VLOOKUP(B78,'Nutrition Plan'!$D$31:$F$41,3,0)</f>
        <v>#N/A</v>
      </c>
      <c r="E78" s="10" t="e">
        <f>D78/(28/6.4)</f>
        <v>#N/A</v>
      </c>
      <c r="F78" s="11" t="e">
        <f>D78/(28/0.5)</f>
        <v>#N/A</v>
      </c>
      <c r="G78" s="10">
        <v>0</v>
      </c>
      <c r="H78" s="12" t="e">
        <f t="shared" si="22"/>
        <v>#N/A</v>
      </c>
      <c r="I78" s="1"/>
    </row>
    <row r="79" spans="1:9" ht="15.75" customHeight="1" thickTop="1" thickBot="1" x14ac:dyDescent="0.3">
      <c r="A79" s="1"/>
      <c r="B79" s="8" t="s">
        <v>186</v>
      </c>
      <c r="C79" s="8" t="s">
        <v>7</v>
      </c>
      <c r="D79" s="9" t="e">
        <f>VLOOKUP(B79,'Nutrition Plan'!$D$31:$F$41,3,0)</f>
        <v>#N/A</v>
      </c>
      <c r="E79" s="10" t="e">
        <f t="shared" ref="E79:E80" si="23">D79/(28/7)</f>
        <v>#N/A</v>
      </c>
      <c r="F79" s="11" t="e">
        <f>D79/(28/1)</f>
        <v>#N/A</v>
      </c>
      <c r="G79" s="10">
        <v>0</v>
      </c>
      <c r="H79" s="12" t="e">
        <f t="shared" si="22"/>
        <v>#N/A</v>
      </c>
      <c r="I79" s="1"/>
    </row>
    <row r="80" spans="1:9" ht="15.75" customHeight="1" thickTop="1" thickBot="1" x14ac:dyDescent="0.3">
      <c r="A80" s="1"/>
      <c r="B80" s="8" t="s">
        <v>187</v>
      </c>
      <c r="C80" s="8" t="s">
        <v>7</v>
      </c>
      <c r="D80" s="9" t="e">
        <f>VLOOKUP(B80,'Nutrition Plan'!$D$31:$F$41,3,0)</f>
        <v>#N/A</v>
      </c>
      <c r="E80" s="10" t="e">
        <f t="shared" si="23"/>
        <v>#N/A</v>
      </c>
      <c r="F80" s="11" t="e">
        <f>D80/(28/0.5)</f>
        <v>#N/A</v>
      </c>
      <c r="G80" s="10">
        <v>0</v>
      </c>
      <c r="H80" s="12" t="e">
        <f t="shared" si="22"/>
        <v>#N/A</v>
      </c>
      <c r="I80" s="1"/>
    </row>
    <row r="81" spans="1:9" ht="15.75" customHeight="1" thickTop="1" thickBot="1" x14ac:dyDescent="0.3">
      <c r="A81" s="1"/>
      <c r="B81" s="8" t="s">
        <v>188</v>
      </c>
      <c r="C81" s="8" t="s">
        <v>7</v>
      </c>
      <c r="D81" s="9" t="e">
        <f>VLOOKUP(B81,'Nutrition Plan'!$D$31:$F$41,3,0)</f>
        <v>#N/A</v>
      </c>
      <c r="E81" s="10" t="e">
        <f>D81/(28/6)</f>
        <v>#N/A</v>
      </c>
      <c r="F81" s="11" t="e">
        <f>D81/(28/0.25)</f>
        <v>#N/A</v>
      </c>
      <c r="G81" s="10">
        <v>0</v>
      </c>
      <c r="H81" s="12" t="e">
        <f t="shared" si="22"/>
        <v>#N/A</v>
      </c>
      <c r="I81" s="1"/>
    </row>
    <row r="82" spans="1:9" ht="15.75" customHeight="1" thickTop="1" thickBot="1" x14ac:dyDescent="0.3">
      <c r="A82" s="1"/>
      <c r="B82" s="8" t="s">
        <v>189</v>
      </c>
      <c r="C82" s="8" t="s">
        <v>7</v>
      </c>
      <c r="D82" s="9" t="e">
        <f>VLOOKUP(B82,'Nutrition Plan'!$D$31:$F$41,3,0)</f>
        <v>#N/A</v>
      </c>
      <c r="E82" s="10" t="e">
        <f>D82/(28/7)</f>
        <v>#N/A</v>
      </c>
      <c r="F82" s="11" t="e">
        <f>D82/(28/0.75)</f>
        <v>#N/A</v>
      </c>
      <c r="G82" s="10">
        <v>0</v>
      </c>
      <c r="H82" s="12" t="e">
        <f t="shared" si="22"/>
        <v>#N/A</v>
      </c>
      <c r="I82" s="1"/>
    </row>
    <row r="83" spans="1:9" ht="15.75" customHeight="1" thickTop="1" thickBot="1" x14ac:dyDescent="0.3">
      <c r="A83" s="1"/>
      <c r="B83" s="8" t="s">
        <v>190</v>
      </c>
      <c r="C83" s="8" t="s">
        <v>7</v>
      </c>
      <c r="D83" s="9" t="e">
        <f>VLOOKUP(B83,'Nutrition Plan'!$D$31:$F$41,3,0)</f>
        <v>#N/A</v>
      </c>
      <c r="E83" s="10" t="e">
        <f>D83/(113/23.98)</f>
        <v>#N/A</v>
      </c>
      <c r="F83" s="11" t="e">
        <f>D83/(113/0.28)</f>
        <v>#N/A</v>
      </c>
      <c r="G83" s="10" t="e">
        <f>D83/(113/0.2)</f>
        <v>#N/A</v>
      </c>
      <c r="H83" s="12" t="e">
        <f t="shared" si="22"/>
        <v>#N/A</v>
      </c>
      <c r="I83" s="1"/>
    </row>
    <row r="84" spans="1:9" ht="15.75" customHeight="1" thickTop="1" thickBot="1" x14ac:dyDescent="0.3">
      <c r="A84" s="1"/>
      <c r="B84" s="8" t="s">
        <v>191</v>
      </c>
      <c r="C84" s="8" t="s">
        <v>7</v>
      </c>
      <c r="D84" s="9" t="e">
        <f>VLOOKUP(B84,'Nutrition Plan'!$D$31:$F$41,3,0)</f>
        <v>#N/A</v>
      </c>
      <c r="E84" s="10" t="e">
        <f>D84/(113/15)</f>
        <v>#N/A</v>
      </c>
      <c r="F84" s="11" t="e">
        <f>D84/(113/5)</f>
        <v>#N/A</v>
      </c>
      <c r="G84" s="10">
        <f t="shared" ref="G84:G85" si="24">0</f>
        <v>0</v>
      </c>
      <c r="H84" s="12" t="e">
        <f t="shared" si="22"/>
        <v>#N/A</v>
      </c>
      <c r="I84" s="1"/>
    </row>
    <row r="85" spans="1:9" ht="15.75" customHeight="1" thickTop="1" thickBot="1" x14ac:dyDescent="0.3">
      <c r="A85" s="1"/>
      <c r="B85" s="8" t="s">
        <v>192</v>
      </c>
      <c r="C85" s="8" t="s">
        <v>7</v>
      </c>
      <c r="D85" s="9" t="e">
        <f>VLOOKUP(B85,'Nutrition Plan'!$D$31:$F$41,3,0)</f>
        <v>#N/A</v>
      </c>
      <c r="E85" s="10" t="e">
        <f>D85/(100/26.15)</f>
        <v>#N/A</v>
      </c>
      <c r="F85" s="11" t="e">
        <f>D85/(100/2.65)</f>
        <v>#N/A</v>
      </c>
      <c r="G85" s="10">
        <f t="shared" si="24"/>
        <v>0</v>
      </c>
      <c r="H85" s="12" t="e">
        <f t="shared" si="22"/>
        <v>#N/A</v>
      </c>
      <c r="I85" s="1"/>
    </row>
    <row r="86" spans="1:9" ht="15.75" customHeight="1" thickTop="1" thickBot="1" x14ac:dyDescent="0.3">
      <c r="A86" s="1"/>
      <c r="B86" s="8" t="s">
        <v>109</v>
      </c>
      <c r="C86" s="8" t="s">
        <v>7</v>
      </c>
      <c r="D86" s="9" t="e">
        <f>VLOOKUP(B86,'Nutrition Plan'!$D$31:$F$41,3,0)</f>
        <v>#N/A</v>
      </c>
      <c r="E86" s="10" t="e">
        <f>D86/(56/13)</f>
        <v>#N/A</v>
      </c>
      <c r="F86" s="11">
        <f t="shared" ref="F86:G90" si="25">0</f>
        <v>0</v>
      </c>
      <c r="G86" s="10">
        <f t="shared" si="25"/>
        <v>0</v>
      </c>
      <c r="H86" s="12" t="e">
        <f t="shared" si="22"/>
        <v>#N/A</v>
      </c>
      <c r="I86" s="1"/>
    </row>
    <row r="87" spans="1:9" ht="15.75" customHeight="1" thickTop="1" thickBot="1" x14ac:dyDescent="0.3">
      <c r="A87" s="1"/>
      <c r="B87" s="8" t="s">
        <v>110</v>
      </c>
      <c r="C87" s="8" t="s">
        <v>7</v>
      </c>
      <c r="D87" s="9" t="e">
        <f>VLOOKUP(B87,'Nutrition Plan'!$D$31:$F$41,3,0)</f>
        <v>#N/A</v>
      </c>
      <c r="E87" s="10" t="e">
        <f>D87/(56/11)</f>
        <v>#N/A</v>
      </c>
      <c r="F87" s="11">
        <f t="shared" si="25"/>
        <v>0</v>
      </c>
      <c r="G87" s="10">
        <f t="shared" si="25"/>
        <v>0</v>
      </c>
      <c r="H87" s="12" t="e">
        <f t="shared" si="22"/>
        <v>#N/A</v>
      </c>
      <c r="I87" s="1"/>
    </row>
    <row r="88" spans="1:9" ht="15.75" customHeight="1" thickTop="1" thickBot="1" x14ac:dyDescent="0.3">
      <c r="A88" s="1"/>
      <c r="B88" s="8" t="s">
        <v>111</v>
      </c>
      <c r="C88" s="8" t="s">
        <v>7</v>
      </c>
      <c r="D88" s="9" t="e">
        <f>VLOOKUP(B88,'Nutrition Plan'!$D$31:$F$41,3,0)</f>
        <v>#N/A</v>
      </c>
      <c r="E88" s="10" t="e">
        <f>D88/(56/13)</f>
        <v>#N/A</v>
      </c>
      <c r="F88" s="11">
        <f t="shared" si="25"/>
        <v>0</v>
      </c>
      <c r="G88" s="10">
        <f t="shared" si="25"/>
        <v>0</v>
      </c>
      <c r="H88" s="12" t="e">
        <f t="shared" si="22"/>
        <v>#N/A</v>
      </c>
      <c r="I88" s="1"/>
    </row>
    <row r="89" spans="1:9" ht="15.75" customHeight="1" thickTop="1" thickBot="1" x14ac:dyDescent="0.3">
      <c r="A89" s="1"/>
      <c r="B89" s="8" t="s">
        <v>193</v>
      </c>
      <c r="C89" s="8" t="s">
        <v>7</v>
      </c>
      <c r="D89" s="9" t="e">
        <f>VLOOKUP(B89,'Nutrition Plan'!$D$31:$F$41,3,0)</f>
        <v>#N/A</v>
      </c>
      <c r="E89" s="10" t="e">
        <f>D89/(85/25.5)</f>
        <v>#N/A</v>
      </c>
      <c r="F89" s="11" t="e">
        <f>D89/(85/1)</f>
        <v>#N/A</v>
      </c>
      <c r="G89" s="10">
        <f t="shared" si="25"/>
        <v>0</v>
      </c>
      <c r="H89" s="12" t="e">
        <f t="shared" si="22"/>
        <v>#N/A</v>
      </c>
      <c r="I89" s="1"/>
    </row>
    <row r="90" spans="1:9" ht="15.75" customHeight="1" thickTop="1" thickBot="1" x14ac:dyDescent="0.3">
      <c r="A90" s="1"/>
      <c r="B90" s="8" t="s">
        <v>194</v>
      </c>
      <c r="C90" s="8" t="s">
        <v>7</v>
      </c>
      <c r="D90" s="9" t="e">
        <f>VLOOKUP(B90,'Nutrition Plan'!$D$31:$F$41,3,0)</f>
        <v>#N/A</v>
      </c>
      <c r="E90" s="10" t="e">
        <f>D90/(100/25.45)</f>
        <v>#N/A</v>
      </c>
      <c r="F90" s="11" t="e">
        <f>D90/(100/8.62)</f>
        <v>#N/A</v>
      </c>
      <c r="G90" s="10">
        <f t="shared" si="25"/>
        <v>0</v>
      </c>
      <c r="H90" s="12" t="e">
        <f t="shared" si="22"/>
        <v>#N/A</v>
      </c>
      <c r="I90" s="1"/>
    </row>
    <row r="91" spans="1:9" ht="15.75" customHeight="1" thickTop="1" thickBot="1" x14ac:dyDescent="0.3">
      <c r="A91" s="1"/>
      <c r="B91" s="8" t="s">
        <v>195</v>
      </c>
      <c r="C91" s="8" t="s">
        <v>7</v>
      </c>
      <c r="D91" s="9" t="e">
        <f>VLOOKUP(B91,'Nutrition Plan'!$D$31:$F$41,3,0)</f>
        <v>#N/A</v>
      </c>
      <c r="E91" s="10" t="e">
        <f>D91/(28/8)</f>
        <v>#N/A</v>
      </c>
      <c r="F91" s="11" t="e">
        <f>D91/(28/1)</f>
        <v>#N/A</v>
      </c>
      <c r="G91" s="10">
        <v>0</v>
      </c>
      <c r="H91" s="12" t="e">
        <f t="shared" si="22"/>
        <v>#N/A</v>
      </c>
      <c r="I91" s="1"/>
    </row>
    <row r="92" spans="1:9" ht="15.75" customHeight="1" thickTop="1" thickBot="1" x14ac:dyDescent="0.3">
      <c r="A92" s="1"/>
      <c r="B92" s="8" t="s">
        <v>196</v>
      </c>
      <c r="C92" s="8" t="s">
        <v>7</v>
      </c>
      <c r="D92" s="9" t="e">
        <f>VLOOKUP(B92,'Nutrition Plan'!$D$31:$F$41,3,0)</f>
        <v>#N/A</v>
      </c>
      <c r="E92" s="10" t="e">
        <f>D92/(100/26.14)</f>
        <v>#N/A</v>
      </c>
      <c r="F92" s="11" t="e">
        <f>D92/(100/11.78)</f>
        <v>#N/A</v>
      </c>
      <c r="G92" s="10">
        <v>0</v>
      </c>
      <c r="H92" s="12" t="e">
        <f t="shared" si="22"/>
        <v>#N/A</v>
      </c>
      <c r="I92" s="1"/>
    </row>
    <row r="93" spans="1:9" ht="15.75" customHeight="1" thickTop="1" thickBot="1" x14ac:dyDescent="0.3">
      <c r="A93" s="1"/>
      <c r="B93" s="8" t="s">
        <v>197</v>
      </c>
      <c r="C93" s="8" t="s">
        <v>7</v>
      </c>
      <c r="D93" s="9" t="e">
        <f>VLOOKUP(B93,'Nutrition Plan'!$D$31:$F$41,3,0)</f>
        <v>#N/A</v>
      </c>
      <c r="E93" s="10" t="e">
        <f>D93/(100/28.88)</f>
        <v>#N/A</v>
      </c>
      <c r="F93" s="11" t="e">
        <f>D93/(100/9.51)</f>
        <v>#N/A</v>
      </c>
      <c r="G93" s="10">
        <v>0</v>
      </c>
      <c r="H93" s="12" t="e">
        <f t="shared" si="22"/>
        <v>#N/A</v>
      </c>
      <c r="I93" s="1"/>
    </row>
    <row r="94" spans="1:9" ht="15.75" customHeight="1" thickTop="1" thickBot="1" x14ac:dyDescent="0.3">
      <c r="A94" s="1"/>
      <c r="B94" s="8" t="s">
        <v>198</v>
      </c>
      <c r="C94" s="8" t="s">
        <v>7</v>
      </c>
      <c r="D94" s="9" t="e">
        <f>VLOOKUP(B94,'Nutrition Plan'!$D$31:$F$41,3,0)</f>
        <v>#N/A</v>
      </c>
      <c r="E94" s="10" t="e">
        <f>D94/(100/29.32)</f>
        <v>#N/A</v>
      </c>
      <c r="F94" s="11" t="e">
        <f>D94/(100/6.52)</f>
        <v>#N/A</v>
      </c>
      <c r="G94" s="10">
        <v>0</v>
      </c>
      <c r="H94" s="12" t="e">
        <f t="shared" si="22"/>
        <v>#N/A</v>
      </c>
      <c r="I94" s="1"/>
    </row>
    <row r="95" spans="1:9" ht="15.75" customHeight="1" thickTop="1" thickBot="1" x14ac:dyDescent="0.3">
      <c r="A95" s="1"/>
      <c r="B95" s="8" t="s">
        <v>199</v>
      </c>
      <c r="C95" s="8" t="s">
        <v>7</v>
      </c>
      <c r="D95" s="9" t="e">
        <f>VLOOKUP(B95,'Nutrition Plan'!$D$31:$F$41,3,0)</f>
        <v>#N/A</v>
      </c>
      <c r="E95" s="10" t="e">
        <f>D95/(84/23)</f>
        <v>#N/A</v>
      </c>
      <c r="F95" s="11" t="e">
        <f>D95/(84/1.5)</f>
        <v>#N/A</v>
      </c>
      <c r="G95" s="10">
        <f t="shared" ref="G95:G97" si="26">0</f>
        <v>0</v>
      </c>
      <c r="H95" s="12" t="e">
        <f t="shared" si="22"/>
        <v>#N/A</v>
      </c>
      <c r="I95" s="1"/>
    </row>
    <row r="96" spans="1:9" ht="15.75" customHeight="1" thickTop="1" thickBot="1" x14ac:dyDescent="0.3">
      <c r="A96" s="1"/>
      <c r="B96" s="8" t="s">
        <v>200</v>
      </c>
      <c r="C96" s="8" t="s">
        <v>7</v>
      </c>
      <c r="D96" s="9" t="e">
        <f>VLOOKUP(B96,'Nutrition Plan'!$D$31:$F$41,3,0)</f>
        <v>#N/A</v>
      </c>
      <c r="E96" s="10" t="e">
        <f>D96/(94/26)</f>
        <v>#N/A</v>
      </c>
      <c r="F96" s="11" t="e">
        <f>D96/(94/1)</f>
        <v>#N/A</v>
      </c>
      <c r="G96" s="10">
        <f t="shared" si="26"/>
        <v>0</v>
      </c>
      <c r="H96" s="12" t="e">
        <f t="shared" si="22"/>
        <v>#N/A</v>
      </c>
      <c r="I96" s="1"/>
    </row>
    <row r="97" spans="1:9" ht="15.75" customHeight="1" thickTop="1" thickBot="1" x14ac:dyDescent="0.3">
      <c r="A97" s="1"/>
      <c r="B97" s="8" t="s">
        <v>201</v>
      </c>
      <c r="C97" s="8" t="s">
        <v>7</v>
      </c>
      <c r="D97" s="9" t="e">
        <f>VLOOKUP(B97,'Nutrition Plan'!$D$31:$F$41,3,0)</f>
        <v>#N/A</v>
      </c>
      <c r="E97" s="10" t="e">
        <f>D97/(100/31)</f>
        <v>#N/A</v>
      </c>
      <c r="F97" s="11" t="e">
        <f>D97/(100/3.8)</f>
        <v>#N/A</v>
      </c>
      <c r="G97" s="10">
        <f t="shared" si="26"/>
        <v>0</v>
      </c>
      <c r="H97" s="12" t="e">
        <f t="shared" si="22"/>
        <v>#N/A</v>
      </c>
      <c r="I97" s="1"/>
    </row>
    <row r="98" spans="1:9" ht="15.75" customHeight="1" thickTop="1" thickBot="1" x14ac:dyDescent="0.3">
      <c r="A98" s="1"/>
      <c r="B98" s="8" t="s">
        <v>202</v>
      </c>
      <c r="C98" s="8" t="s">
        <v>7</v>
      </c>
      <c r="D98" s="9" t="e">
        <f>VLOOKUP(B98,'Nutrition Plan'!$D$31:$F$41,3,0)</f>
        <v>#N/A</v>
      </c>
      <c r="E98" s="10" t="e">
        <f>D98/(28/6.57)</f>
        <v>#N/A</v>
      </c>
      <c r="F98" s="11" t="e">
        <f>D98/(28/3.14)</f>
        <v>#N/A</v>
      </c>
      <c r="G98" s="10">
        <v>0</v>
      </c>
      <c r="H98" s="12" t="e">
        <f t="shared" si="22"/>
        <v>#N/A</v>
      </c>
      <c r="I98" s="1"/>
    </row>
    <row r="99" spans="1:9" ht="15.75" customHeight="1" thickTop="1" thickBot="1" x14ac:dyDescent="0.3">
      <c r="A99" s="1"/>
      <c r="B99" s="8" t="s">
        <v>112</v>
      </c>
      <c r="C99" s="8" t="s">
        <v>22</v>
      </c>
      <c r="D99" s="9" t="e">
        <f>VLOOKUP(B99,'Nutrition Plan'!$D$31:$F$41,3,0)</f>
        <v>#N/A</v>
      </c>
      <c r="E99" s="10" t="e">
        <f>D99/(28/6)</f>
        <v>#N/A</v>
      </c>
      <c r="F99" s="11" t="e">
        <f>D99/(28/1.5)</f>
        <v>#N/A</v>
      </c>
      <c r="G99" s="10" t="e">
        <f>D99/(28/1)</f>
        <v>#N/A</v>
      </c>
      <c r="H99" s="12" t="e">
        <f t="shared" si="22"/>
        <v>#N/A</v>
      </c>
      <c r="I99" s="1"/>
    </row>
    <row r="100" spans="1:9" ht="15.75" customHeight="1" thickTop="1" thickBot="1" x14ac:dyDescent="0.3">
      <c r="A100" s="1"/>
      <c r="B100" s="8" t="s">
        <v>113</v>
      </c>
      <c r="C100" s="8" t="s">
        <v>114</v>
      </c>
      <c r="D100" s="9" t="e">
        <f>VLOOKUP(B100,'Nutrition Plan'!$D$31:$F$41,3,0)</f>
        <v>#N/A</v>
      </c>
      <c r="E100" s="10" t="e">
        <f>D100/(1/21)</f>
        <v>#N/A</v>
      </c>
      <c r="F100" s="11" t="e">
        <f t="shared" ref="F100:F101" si="27">D100/(1/9)</f>
        <v>#N/A</v>
      </c>
      <c r="G100" s="10">
        <f t="shared" ref="G100:G101" si="28">0</f>
        <v>0</v>
      </c>
      <c r="H100" s="12" t="e">
        <f t="shared" si="22"/>
        <v>#N/A</v>
      </c>
      <c r="I100" s="1"/>
    </row>
    <row r="101" spans="1:9" ht="15.75" customHeight="1" thickTop="1" thickBot="1" x14ac:dyDescent="0.3">
      <c r="A101" s="1"/>
      <c r="B101" s="8" t="s">
        <v>115</v>
      </c>
      <c r="C101" s="8" t="s">
        <v>114</v>
      </c>
      <c r="D101" s="9" t="e">
        <f>VLOOKUP(B101,'Nutrition Plan'!$D$31:$F$41,3,0)</f>
        <v>#N/A</v>
      </c>
      <c r="E101" s="10" t="e">
        <f>D101/(1/20)</f>
        <v>#N/A</v>
      </c>
      <c r="F101" s="11" t="e">
        <f t="shared" si="27"/>
        <v>#N/A</v>
      </c>
      <c r="G101" s="10">
        <f t="shared" si="28"/>
        <v>0</v>
      </c>
      <c r="H101" s="12" t="e">
        <f t="shared" si="22"/>
        <v>#N/A</v>
      </c>
      <c r="I101" s="1"/>
    </row>
    <row r="102" spans="1:9" ht="15.75" customHeight="1" thickTop="1" thickBot="1" x14ac:dyDescent="0.3">
      <c r="A102" s="1"/>
      <c r="B102" s="8" t="s">
        <v>116</v>
      </c>
      <c r="C102" s="8" t="s">
        <v>7</v>
      </c>
      <c r="D102" s="9" t="e">
        <f>VLOOKUP(B102,'Nutrition Plan'!$D$31:$F$41,3,0)</f>
        <v>#N/A</v>
      </c>
      <c r="E102" s="10" t="e">
        <f>D102/(28/6)</f>
        <v>#N/A</v>
      </c>
      <c r="F102" s="11" t="e">
        <f>D102/(28/1.5)</f>
        <v>#N/A</v>
      </c>
      <c r="G102" s="10">
        <v>0</v>
      </c>
      <c r="H102" s="12" t="e">
        <f t="shared" si="22"/>
        <v>#N/A</v>
      </c>
      <c r="I102" s="1"/>
    </row>
    <row r="103" spans="1:9" ht="15.75" customHeight="1" thickTop="1" thickBot="1" x14ac:dyDescent="0.3">
      <c r="A103" s="1"/>
      <c r="B103" s="8" t="s">
        <v>117</v>
      </c>
      <c r="C103" s="8" t="s">
        <v>7</v>
      </c>
      <c r="D103" s="9" t="e">
        <f>VLOOKUP(B103,'Nutrition Plan'!$D$31:$F$41,3,0)</f>
        <v>#N/A</v>
      </c>
      <c r="E103" s="10" t="e">
        <f>D103/(28/5.28)</f>
        <v>#N/A</v>
      </c>
      <c r="F103" s="11" t="e">
        <f>D103/(28/2.13)</f>
        <v>#N/A</v>
      </c>
      <c r="G103" s="10">
        <v>0</v>
      </c>
      <c r="H103" s="12" t="e">
        <f t="shared" si="22"/>
        <v>#N/A</v>
      </c>
      <c r="I103" s="1"/>
    </row>
    <row r="104" spans="1:9" ht="15.75" customHeight="1" thickTop="1" thickBot="1" x14ac:dyDescent="0.3">
      <c r="A104" s="1"/>
      <c r="B104" s="8" t="s">
        <v>203</v>
      </c>
      <c r="C104" s="8" t="s">
        <v>7</v>
      </c>
      <c r="D104" s="9" t="e">
        <f>VLOOKUP(B104,'Nutrition Plan'!$D$31:$F$41,3,0)</f>
        <v>#N/A</v>
      </c>
      <c r="E104" s="10" t="e">
        <f t="shared" ref="E104:E105" si="29">D104/(28/8)</f>
        <v>#N/A</v>
      </c>
      <c r="F104" s="11" t="e">
        <f t="shared" ref="F104:F105" si="30">D104/(28/3)</f>
        <v>#N/A</v>
      </c>
      <c r="G104" s="10">
        <v>0</v>
      </c>
      <c r="H104" s="12" t="e">
        <f t="shared" si="22"/>
        <v>#N/A</v>
      </c>
      <c r="I104" s="1"/>
    </row>
    <row r="105" spans="1:9" ht="15.75" customHeight="1" thickTop="1" thickBot="1" x14ac:dyDescent="0.3">
      <c r="A105" s="1"/>
      <c r="B105" s="8" t="s">
        <v>204</v>
      </c>
      <c r="C105" s="8" t="s">
        <v>7</v>
      </c>
      <c r="D105" s="9" t="e">
        <f>VLOOKUP(B105,'Nutrition Plan'!$D$31:$F$41,3,0)</f>
        <v>#N/A</v>
      </c>
      <c r="E105" s="10" t="e">
        <f t="shared" si="29"/>
        <v>#N/A</v>
      </c>
      <c r="F105" s="11" t="e">
        <f t="shared" si="30"/>
        <v>#N/A</v>
      </c>
      <c r="G105" s="10">
        <v>0</v>
      </c>
      <c r="H105" s="12" t="e">
        <f t="shared" si="22"/>
        <v>#N/A</v>
      </c>
      <c r="I105" s="1"/>
    </row>
    <row r="106" spans="1:9" ht="15.75" customHeight="1" thickTop="1" thickBot="1" x14ac:dyDescent="0.3">
      <c r="A106" s="1"/>
      <c r="B106" s="8" t="s">
        <v>205</v>
      </c>
      <c r="C106" s="8" t="s">
        <v>7</v>
      </c>
      <c r="D106" s="9" t="e">
        <f>VLOOKUP(B106,'Nutrition Plan'!$D$31:$F$41,3,0)</f>
        <v>#N/A</v>
      </c>
      <c r="E106" s="10" t="e">
        <f>D106/(100/22.7)</f>
        <v>#N/A</v>
      </c>
      <c r="F106" s="11" t="e">
        <f>D106/(100/3.8)</f>
        <v>#N/A</v>
      </c>
      <c r="G106" s="10">
        <f t="shared" ref="G106:G108" si="31">0</f>
        <v>0</v>
      </c>
      <c r="H106" s="12" t="e">
        <f t="shared" si="22"/>
        <v>#N/A</v>
      </c>
      <c r="I106" s="1"/>
    </row>
    <row r="107" spans="1:9" ht="15.75" customHeight="1" thickTop="1" thickBot="1" x14ac:dyDescent="0.3">
      <c r="A107" s="1"/>
      <c r="B107" s="8" t="s">
        <v>206</v>
      </c>
      <c r="C107" s="8" t="s">
        <v>7</v>
      </c>
      <c r="D107" s="9" t="e">
        <f>VLOOKUP(B107,'Nutrition Plan'!$D$31:$F$41,3,0)</f>
        <v>#N/A</v>
      </c>
      <c r="E107" s="10" t="e">
        <f>D107/(100/30.24)</f>
        <v>#N/A</v>
      </c>
      <c r="F107" s="11" t="e">
        <f>D107/(100/4.11)</f>
        <v>#N/A</v>
      </c>
      <c r="G107" s="10">
        <f t="shared" si="31"/>
        <v>0</v>
      </c>
      <c r="H107" s="12" t="e">
        <f t="shared" si="22"/>
        <v>#N/A</v>
      </c>
      <c r="I107" s="1"/>
    </row>
    <row r="108" spans="1:9" ht="15.75" customHeight="1" thickTop="1" thickBot="1" x14ac:dyDescent="0.3">
      <c r="A108" s="1"/>
      <c r="B108" s="8" t="s">
        <v>207</v>
      </c>
      <c r="C108" s="8" t="s">
        <v>7</v>
      </c>
      <c r="D108" s="9" t="e">
        <f>VLOOKUP(B108,'Nutrition Plan'!$D$31:$F$41,3,0)</f>
        <v>#N/A</v>
      </c>
      <c r="E108" s="10" t="e">
        <f>D108/(100/30.7)</f>
        <v>#N/A</v>
      </c>
      <c r="F108" s="11" t="e">
        <f>D108/(100/10.27)</f>
        <v>#N/A</v>
      </c>
      <c r="G108" s="10">
        <f t="shared" si="31"/>
        <v>0</v>
      </c>
      <c r="H108" s="12" t="e">
        <f t="shared" si="22"/>
        <v>#N/A</v>
      </c>
      <c r="I108" s="1"/>
    </row>
    <row r="109" spans="1:9" ht="15.75" customHeight="1" thickTop="1" x14ac:dyDescent="0.3">
      <c r="A109" s="1"/>
      <c r="B109" s="173" t="s">
        <v>36</v>
      </c>
      <c r="C109" s="174"/>
      <c r="D109" s="174"/>
      <c r="E109" s="174"/>
      <c r="F109" s="174"/>
      <c r="G109" s="174"/>
      <c r="H109" s="134"/>
      <c r="I109" s="1"/>
    </row>
    <row r="110" spans="1:9" ht="15.75" customHeight="1" thickBot="1" x14ac:dyDescent="0.3">
      <c r="A110" s="1"/>
      <c r="B110" s="8" t="s">
        <v>118</v>
      </c>
      <c r="C110" s="8" t="s">
        <v>7</v>
      </c>
      <c r="D110" s="9" t="e">
        <f>VLOOKUP(B110,'Nutrition Plan'!$D$31:$F$41,3,0)</f>
        <v>#N/A</v>
      </c>
      <c r="E110" s="10" t="e">
        <f>D110/(32.5/25)</f>
        <v>#N/A</v>
      </c>
      <c r="F110" s="11" t="e">
        <f>D110/(32.5/1)</f>
        <v>#N/A</v>
      </c>
      <c r="G110" s="10" t="e">
        <f>D110/(32.5/3)</f>
        <v>#N/A</v>
      </c>
      <c r="H110" s="12" t="e">
        <f t="shared" ref="H110:H131" si="32">(E110*4)+(F110*9)+(G110*4)</f>
        <v>#N/A</v>
      </c>
      <c r="I110" s="1"/>
    </row>
    <row r="111" spans="1:9" ht="15.75" customHeight="1" thickTop="1" thickBot="1" x14ac:dyDescent="0.3">
      <c r="A111" s="1"/>
      <c r="B111" s="8" t="s">
        <v>119</v>
      </c>
      <c r="C111" s="8" t="s">
        <v>7</v>
      </c>
      <c r="D111" s="9" t="e">
        <f>VLOOKUP(B111,'Nutrition Plan'!$D$31:$F$41,3,0)</f>
        <v>#N/A</v>
      </c>
      <c r="E111" s="10" t="e">
        <f>D111/(32/25)</f>
        <v>#N/A</v>
      </c>
      <c r="F111" s="11" t="e">
        <f>D111/(32/1.5)</f>
        <v>#N/A</v>
      </c>
      <c r="G111" s="10" t="e">
        <f>D111/(32/3)</f>
        <v>#N/A</v>
      </c>
      <c r="H111" s="12" t="e">
        <f t="shared" si="32"/>
        <v>#N/A</v>
      </c>
      <c r="I111" s="1"/>
    </row>
    <row r="112" spans="1:9" ht="15.75" customHeight="1" thickTop="1" thickBot="1" x14ac:dyDescent="0.3">
      <c r="A112" s="1"/>
      <c r="B112" s="8" t="s">
        <v>120</v>
      </c>
      <c r="C112" s="8" t="s">
        <v>7</v>
      </c>
      <c r="D112" s="9" t="e">
        <f>VLOOKUP(B112,'Nutrition Plan'!$D$31:$F$41,3,0)</f>
        <v>#N/A</v>
      </c>
      <c r="E112" s="10" t="e">
        <f>D112/(36/25)</f>
        <v>#N/A</v>
      </c>
      <c r="F112" s="11" t="e">
        <f>D112/(36/1.5)</f>
        <v>#N/A</v>
      </c>
      <c r="G112" s="10" t="e">
        <f>D112/(36/3)</f>
        <v>#N/A</v>
      </c>
      <c r="H112" s="12" t="e">
        <f t="shared" si="32"/>
        <v>#N/A</v>
      </c>
      <c r="I112" s="1"/>
    </row>
    <row r="113" spans="1:9" ht="15.75" customHeight="1" thickTop="1" thickBot="1" x14ac:dyDescent="0.3">
      <c r="A113" s="1"/>
      <c r="B113" s="8" t="s">
        <v>121</v>
      </c>
      <c r="C113" s="8" t="s">
        <v>7</v>
      </c>
      <c r="D113" s="9" t="e">
        <f>VLOOKUP(B113,'Nutrition Plan'!$D$31:$F$41,3,0)</f>
        <v>#N/A</v>
      </c>
      <c r="E113" s="10" t="e">
        <f t="shared" ref="E113:E114" si="33">D113/(33/25)</f>
        <v>#N/A</v>
      </c>
      <c r="F113" s="11" t="e">
        <f t="shared" ref="F113:F114" si="34">D113/(33/1.5)</f>
        <v>#N/A</v>
      </c>
      <c r="G113" s="10" t="e">
        <f t="shared" ref="G113:G114" si="35">D113/(33/3)</f>
        <v>#N/A</v>
      </c>
      <c r="H113" s="12" t="e">
        <f t="shared" si="32"/>
        <v>#N/A</v>
      </c>
      <c r="I113" s="1"/>
    </row>
    <row r="114" spans="1:9" ht="15.75" customHeight="1" thickTop="1" thickBot="1" x14ac:dyDescent="0.3">
      <c r="A114" s="1"/>
      <c r="B114" s="8" t="s">
        <v>122</v>
      </c>
      <c r="C114" s="8" t="s">
        <v>7</v>
      </c>
      <c r="D114" s="9" t="e">
        <f>VLOOKUP(B114,'Nutrition Plan'!$D$31:$F$41,3,0)</f>
        <v>#N/A</v>
      </c>
      <c r="E114" s="10" t="e">
        <f t="shared" si="33"/>
        <v>#N/A</v>
      </c>
      <c r="F114" s="11" t="e">
        <f t="shared" si="34"/>
        <v>#N/A</v>
      </c>
      <c r="G114" s="10" t="e">
        <f t="shared" si="35"/>
        <v>#N/A</v>
      </c>
      <c r="H114" s="12" t="e">
        <f t="shared" si="32"/>
        <v>#N/A</v>
      </c>
      <c r="I114" s="1"/>
    </row>
    <row r="115" spans="1:9" ht="15.75" customHeight="1" thickTop="1" thickBot="1" x14ac:dyDescent="0.3">
      <c r="A115" s="1"/>
      <c r="B115" s="8" t="s">
        <v>123</v>
      </c>
      <c r="C115" s="8" t="s">
        <v>7</v>
      </c>
      <c r="D115" s="9" t="e">
        <f>VLOOKUP(B115,'Nutrition Plan'!$D$31:$F$41,3,0)</f>
        <v>#N/A</v>
      </c>
      <c r="E115" s="10" t="e">
        <f>D115/(36/25)</f>
        <v>#N/A</v>
      </c>
      <c r="F115" s="11" t="e">
        <f>D115/(36/1.5)</f>
        <v>#N/A</v>
      </c>
      <c r="G115" s="10" t="e">
        <f>D115/(36/5)</f>
        <v>#N/A</v>
      </c>
      <c r="H115" s="12" t="e">
        <f t="shared" si="32"/>
        <v>#N/A</v>
      </c>
      <c r="I115" s="1"/>
    </row>
    <row r="116" spans="1:9" ht="15.75" customHeight="1" thickTop="1" thickBot="1" x14ac:dyDescent="0.3">
      <c r="A116" s="1"/>
      <c r="B116" s="8" t="s">
        <v>124</v>
      </c>
      <c r="C116" s="8" t="s">
        <v>7</v>
      </c>
      <c r="D116" s="9" t="e">
        <f>VLOOKUP(B116,'Nutrition Plan'!$D$31:$F$41,3,0)</f>
        <v>#N/A</v>
      </c>
      <c r="E116" s="10" t="e">
        <f>D116/(29/25)</f>
        <v>#N/A</v>
      </c>
      <c r="F116" s="11">
        <f>0</f>
        <v>0</v>
      </c>
      <c r="G116" s="10" t="e">
        <f>D116/(29/1)</f>
        <v>#N/A</v>
      </c>
      <c r="H116" s="12" t="e">
        <f t="shared" si="32"/>
        <v>#N/A</v>
      </c>
      <c r="I116" s="1"/>
    </row>
    <row r="117" spans="1:9" ht="15.75" customHeight="1" thickTop="1" thickBot="1" x14ac:dyDescent="0.3">
      <c r="A117" s="1"/>
      <c r="B117" s="8" t="s">
        <v>125</v>
      </c>
      <c r="C117" s="8" t="s">
        <v>7</v>
      </c>
      <c r="D117" s="9" t="e">
        <f>VLOOKUP(B117,'Nutrition Plan'!$D$31:$F$41,3,0)</f>
        <v>#N/A</v>
      </c>
      <c r="E117" s="10" t="e">
        <f>D117/(31/25)</f>
        <v>#N/A</v>
      </c>
      <c r="F117" s="11" t="e">
        <f>D117/(31/0.5)</f>
        <v>#N/A</v>
      </c>
      <c r="G117" s="10" t="e">
        <f>D117/(31/2)</f>
        <v>#N/A</v>
      </c>
      <c r="H117" s="12" t="e">
        <f t="shared" si="32"/>
        <v>#N/A</v>
      </c>
      <c r="I117" s="1"/>
    </row>
    <row r="118" spans="1:9" ht="15.75" customHeight="1" thickTop="1" thickBot="1" x14ac:dyDescent="0.3">
      <c r="A118" s="1"/>
      <c r="B118" s="8" t="s">
        <v>126</v>
      </c>
      <c r="C118" s="8" t="s">
        <v>7</v>
      </c>
      <c r="D118" s="9" t="e">
        <f>VLOOKUP(B118,'Nutrition Plan'!$D$31:$F$41,3,0)</f>
        <v>#N/A</v>
      </c>
      <c r="E118" s="10" t="e">
        <f>D118/(30.1/25)</f>
        <v>#N/A</v>
      </c>
      <c r="F118" s="11">
        <f t="shared" ref="F118:F119" si="36">0</f>
        <v>0</v>
      </c>
      <c r="G118" s="10" t="e">
        <f>D118/(30.1/1)</f>
        <v>#N/A</v>
      </c>
      <c r="H118" s="12" t="e">
        <f t="shared" si="32"/>
        <v>#N/A</v>
      </c>
      <c r="I118" s="1"/>
    </row>
    <row r="119" spans="1:9" ht="15.75" customHeight="1" thickTop="1" thickBot="1" x14ac:dyDescent="0.3">
      <c r="A119" s="1"/>
      <c r="B119" s="8" t="s">
        <v>127</v>
      </c>
      <c r="C119" s="8" t="s">
        <v>7</v>
      </c>
      <c r="D119" s="9" t="e">
        <f>VLOOKUP(B119,'Nutrition Plan'!$D$31:$F$41,3,0)</f>
        <v>#N/A</v>
      </c>
      <c r="E119" s="10" t="e">
        <f>D119/(29/25)</f>
        <v>#N/A</v>
      </c>
      <c r="F119" s="11">
        <f t="shared" si="36"/>
        <v>0</v>
      </c>
      <c r="G119" s="10" t="e">
        <f>D119/(29/1)</f>
        <v>#N/A</v>
      </c>
      <c r="H119" s="12" t="e">
        <f t="shared" si="32"/>
        <v>#N/A</v>
      </c>
      <c r="I119" s="1"/>
    </row>
    <row r="120" spans="1:9" ht="15.75" customHeight="1" thickTop="1" thickBot="1" x14ac:dyDescent="0.3">
      <c r="A120" s="1"/>
      <c r="B120" s="8" t="s">
        <v>128</v>
      </c>
      <c r="C120" s="8" t="s">
        <v>7</v>
      </c>
      <c r="D120" s="9" t="e">
        <f>VLOOKUP(B120,'Nutrition Plan'!$D$31:$F$41,3,0)</f>
        <v>#N/A</v>
      </c>
      <c r="E120" s="10" t="e">
        <f>D120/(39.5/24)</f>
        <v>#N/A</v>
      </c>
      <c r="F120" s="11" t="e">
        <f>D120/(39.5/3.5)</f>
        <v>#N/A</v>
      </c>
      <c r="G120" s="10" t="e">
        <f>D120/(39.5/8)</f>
        <v>#N/A</v>
      </c>
      <c r="H120" s="12" t="e">
        <f t="shared" si="32"/>
        <v>#N/A</v>
      </c>
      <c r="I120" s="1"/>
    </row>
    <row r="121" spans="1:9" ht="15.75" customHeight="1" thickTop="1" thickBot="1" x14ac:dyDescent="0.3">
      <c r="A121" s="1"/>
      <c r="B121" s="8" t="s">
        <v>129</v>
      </c>
      <c r="C121" s="8" t="s">
        <v>7</v>
      </c>
      <c r="D121" s="9" t="e">
        <f>VLOOKUP(B121,'Nutrition Plan'!$D$31:$F$41,3,0)</f>
        <v>#N/A</v>
      </c>
      <c r="E121" s="10" t="e">
        <f>D121/(36.5/24)</f>
        <v>#N/A</v>
      </c>
      <c r="F121" s="11" t="e">
        <f>D121/(36.5/3.5)</f>
        <v>#N/A</v>
      </c>
      <c r="G121" s="10" t="e">
        <f>D121/(36.5/5)</f>
        <v>#N/A</v>
      </c>
      <c r="H121" s="12" t="e">
        <f t="shared" si="32"/>
        <v>#N/A</v>
      </c>
      <c r="I121" s="1"/>
    </row>
    <row r="122" spans="1:9" ht="15.75" customHeight="1" thickTop="1" thickBot="1" x14ac:dyDescent="0.3">
      <c r="A122" s="1"/>
      <c r="B122" s="8" t="s">
        <v>130</v>
      </c>
      <c r="C122" s="8" t="s">
        <v>7</v>
      </c>
      <c r="D122" s="9" t="e">
        <f>VLOOKUP(B122,'Nutrition Plan'!$D$31:$F$41,3,0)</f>
        <v>#N/A</v>
      </c>
      <c r="E122" s="10" t="e">
        <f>D122/(37.1/24)</f>
        <v>#N/A</v>
      </c>
      <c r="F122" s="11" t="e">
        <f>D122/(37.1/3.5)</f>
        <v>#N/A</v>
      </c>
      <c r="G122" s="10" t="e">
        <f>D122/(37.1/6)</f>
        <v>#N/A</v>
      </c>
      <c r="H122" s="12" t="e">
        <f t="shared" si="32"/>
        <v>#N/A</v>
      </c>
      <c r="I122" s="1"/>
    </row>
    <row r="123" spans="1:9" ht="15.75" customHeight="1" thickTop="1" thickBot="1" x14ac:dyDescent="0.3">
      <c r="A123" s="1"/>
      <c r="B123" s="8" t="s">
        <v>131</v>
      </c>
      <c r="C123" s="8" t="s">
        <v>7</v>
      </c>
      <c r="D123" s="9" t="e">
        <f>VLOOKUP(B123,'Nutrition Plan'!$D$31:$F$41,3,0)</f>
        <v>#N/A</v>
      </c>
      <c r="E123" s="10" t="e">
        <f>D123/(36.3/24)</f>
        <v>#N/A</v>
      </c>
      <c r="F123" s="11" t="e">
        <f>D123/(36.3/3.5)</f>
        <v>#N/A</v>
      </c>
      <c r="G123" s="10" t="e">
        <f>D123/(36.3/5)</f>
        <v>#N/A</v>
      </c>
      <c r="H123" s="12" t="e">
        <f t="shared" si="32"/>
        <v>#N/A</v>
      </c>
      <c r="I123" s="1"/>
    </row>
    <row r="124" spans="1:9" ht="15.75" customHeight="1" thickTop="1" thickBot="1" x14ac:dyDescent="0.3">
      <c r="A124" s="1"/>
      <c r="B124" s="8" t="s">
        <v>132</v>
      </c>
      <c r="C124" s="8" t="s">
        <v>7</v>
      </c>
      <c r="D124" s="9" t="e">
        <f>VLOOKUP(B124,'Nutrition Plan'!$D$31:$F$41,3,0)</f>
        <v>#N/A</v>
      </c>
      <c r="E124" s="10" t="e">
        <f>D124/(23/20)</f>
        <v>#N/A</v>
      </c>
      <c r="F124" s="11" t="e">
        <f>D124/(23/0.56)</f>
        <v>#N/A</v>
      </c>
      <c r="G124" s="10">
        <f>0</f>
        <v>0</v>
      </c>
      <c r="H124" s="12" t="e">
        <f t="shared" si="32"/>
        <v>#N/A</v>
      </c>
      <c r="I124" s="1"/>
    </row>
    <row r="125" spans="1:9" ht="15.75" customHeight="1" thickTop="1" thickBot="1" x14ac:dyDescent="0.3">
      <c r="A125" s="1"/>
      <c r="B125" s="8" t="s">
        <v>133</v>
      </c>
      <c r="C125" s="8" t="s">
        <v>134</v>
      </c>
      <c r="D125" s="9" t="e">
        <f>VLOOKUP(B125,'Nutrition Plan'!$D$31:$F$41,3,0)</f>
        <v>#N/A</v>
      </c>
      <c r="E125" s="10" t="e">
        <f>D125/(1/23)</f>
        <v>#N/A</v>
      </c>
      <c r="F125" s="11" t="e">
        <f>D125/(1/8)</f>
        <v>#N/A</v>
      </c>
      <c r="G125" s="10" t="e">
        <f>D125/(1/21)</f>
        <v>#N/A</v>
      </c>
      <c r="H125" s="12" t="e">
        <f t="shared" si="32"/>
        <v>#N/A</v>
      </c>
      <c r="I125" s="1"/>
    </row>
    <row r="126" spans="1:9" ht="15.75" customHeight="1" thickTop="1" thickBot="1" x14ac:dyDescent="0.3">
      <c r="A126" s="1"/>
      <c r="B126" s="8" t="s">
        <v>135</v>
      </c>
      <c r="C126" s="8" t="s">
        <v>134</v>
      </c>
      <c r="D126" s="9" t="e">
        <f>VLOOKUP(B126,'Nutrition Plan'!$D$31:$F$41,3,0)</f>
        <v>#N/A</v>
      </c>
      <c r="E126" s="10" t="e">
        <f>D126/(1/13)</f>
        <v>#N/A</v>
      </c>
      <c r="F126" s="11" t="e">
        <f>D126/(1/12)</f>
        <v>#N/A</v>
      </c>
      <c r="G126" s="10" t="e">
        <f>D126/(1/10)</f>
        <v>#N/A</v>
      </c>
      <c r="H126" s="12" t="e">
        <f t="shared" si="32"/>
        <v>#N/A</v>
      </c>
      <c r="I126" s="1"/>
    </row>
    <row r="127" spans="1:9" ht="15.75" customHeight="1" thickTop="1" thickBot="1" x14ac:dyDescent="0.3">
      <c r="A127" s="1"/>
      <c r="B127" s="8" t="s">
        <v>136</v>
      </c>
      <c r="C127" s="8" t="s">
        <v>134</v>
      </c>
      <c r="D127" s="9" t="e">
        <f>VLOOKUP(B127,'Nutrition Plan'!$D$31:$F$41,3,0)</f>
        <v>#N/A</v>
      </c>
      <c r="E127" s="10" t="e">
        <f t="shared" ref="E127:E128" si="37">D127/(1/21)</f>
        <v>#N/A</v>
      </c>
      <c r="F127" s="11" t="e">
        <f>D127/(1/8)</f>
        <v>#N/A</v>
      </c>
      <c r="G127" s="10" t="e">
        <f t="shared" ref="G127:G128" si="38">D127/(1/5)</f>
        <v>#N/A</v>
      </c>
      <c r="H127" s="12" t="e">
        <f t="shared" si="32"/>
        <v>#N/A</v>
      </c>
      <c r="I127" s="1"/>
    </row>
    <row r="128" spans="1:9" ht="15.75" customHeight="1" thickTop="1" thickBot="1" x14ac:dyDescent="0.3">
      <c r="A128" s="1"/>
      <c r="B128" s="8" t="s">
        <v>137</v>
      </c>
      <c r="C128" s="8" t="s">
        <v>134</v>
      </c>
      <c r="D128" s="9" t="e">
        <f>VLOOKUP(B128,'Nutrition Plan'!$D$31:$F$41,3,0)</f>
        <v>#N/A</v>
      </c>
      <c r="E128" s="10" t="e">
        <f t="shared" si="37"/>
        <v>#N/A</v>
      </c>
      <c r="F128" s="11" t="e">
        <f>D128/(1/7)</f>
        <v>#N/A</v>
      </c>
      <c r="G128" s="10" t="e">
        <f t="shared" si="38"/>
        <v>#N/A</v>
      </c>
      <c r="H128" s="12" t="e">
        <f t="shared" si="32"/>
        <v>#N/A</v>
      </c>
      <c r="I128" s="1"/>
    </row>
    <row r="129" spans="1:9" ht="15.75" customHeight="1" thickTop="1" thickBot="1" x14ac:dyDescent="0.3">
      <c r="A129" s="1"/>
      <c r="B129" s="8" t="s">
        <v>138</v>
      </c>
      <c r="C129" s="8" t="s">
        <v>134</v>
      </c>
      <c r="D129" s="9" t="e">
        <f>VLOOKUP(B129,'Nutrition Plan'!$D$31:$F$41,3,0)</f>
        <v>#N/A</v>
      </c>
      <c r="E129" s="10" t="e">
        <f t="shared" ref="E129:E131" si="39">D129/(1/20)</f>
        <v>#N/A</v>
      </c>
      <c r="F129" s="11" t="e">
        <f>D129/(1/9)</f>
        <v>#N/A</v>
      </c>
      <c r="G129" s="10" t="e">
        <f>D129/(1/4)</f>
        <v>#N/A</v>
      </c>
      <c r="H129" s="12" t="e">
        <f t="shared" si="32"/>
        <v>#N/A</v>
      </c>
      <c r="I129" s="1"/>
    </row>
    <row r="130" spans="1:9" ht="15.75" customHeight="1" thickTop="1" thickBot="1" x14ac:dyDescent="0.3">
      <c r="A130" s="1"/>
      <c r="B130" s="8" t="s">
        <v>139</v>
      </c>
      <c r="C130" s="8" t="s">
        <v>134</v>
      </c>
      <c r="D130" s="9" t="e">
        <f>VLOOKUP(B130,'Nutrition Plan'!$D$31:$F$41,3,0)</f>
        <v>#N/A</v>
      </c>
      <c r="E130" s="10" t="e">
        <f t="shared" si="39"/>
        <v>#N/A</v>
      </c>
      <c r="F130" s="11" t="e">
        <f t="shared" ref="F130:F131" si="40">D130/(1/8)</f>
        <v>#N/A</v>
      </c>
      <c r="G130" s="10" t="e">
        <f t="shared" ref="G130:G131" si="41">D130/(1/22)</f>
        <v>#N/A</v>
      </c>
      <c r="H130" s="12" t="e">
        <f t="shared" si="32"/>
        <v>#N/A</v>
      </c>
      <c r="I130" s="1"/>
    </row>
    <row r="131" spans="1:9" ht="15.75" customHeight="1" thickTop="1" thickBot="1" x14ac:dyDescent="0.3">
      <c r="A131" s="1"/>
      <c r="B131" s="8" t="s">
        <v>140</v>
      </c>
      <c r="C131" s="8" t="s">
        <v>134</v>
      </c>
      <c r="D131" s="9" t="e">
        <f>VLOOKUP(B131,'Nutrition Plan'!$D$31:$F$41,3,0)</f>
        <v>#N/A</v>
      </c>
      <c r="E131" s="10" t="e">
        <f t="shared" si="39"/>
        <v>#N/A</v>
      </c>
      <c r="F131" s="11" t="e">
        <f t="shared" si="40"/>
        <v>#N/A</v>
      </c>
      <c r="G131" s="10" t="e">
        <f t="shared" si="41"/>
        <v>#N/A</v>
      </c>
      <c r="H131" s="12" t="e">
        <f t="shared" si="32"/>
        <v>#N/A</v>
      </c>
      <c r="I131" s="1"/>
    </row>
    <row r="132" spans="1:9" ht="15.75" customHeight="1" thickTop="1" x14ac:dyDescent="0.3">
      <c r="A132" s="1"/>
      <c r="B132" s="173" t="s">
        <v>37</v>
      </c>
      <c r="C132" s="174"/>
      <c r="D132" s="174"/>
      <c r="E132" s="174"/>
      <c r="F132" s="174"/>
      <c r="G132" s="174"/>
      <c r="H132" s="134"/>
      <c r="I132" s="1"/>
    </row>
    <row r="133" spans="1:9" ht="15.75" customHeight="1" thickBot="1" x14ac:dyDescent="0.3">
      <c r="A133" s="1"/>
      <c r="B133" s="8" t="s">
        <v>141</v>
      </c>
      <c r="C133" s="8" t="s">
        <v>7</v>
      </c>
      <c r="D133" s="9" t="e">
        <f>VLOOKUP(B133,'Nutrition Plan'!$D$31:$F$41,3,0)</f>
        <v>#N/A</v>
      </c>
      <c r="E133" s="10" t="e">
        <f>D133/(100/0.2)</f>
        <v>#N/A</v>
      </c>
      <c r="F133" s="11" t="e">
        <f>D133/(100/0.18)</f>
        <v>#N/A</v>
      </c>
      <c r="G133" s="10" t="e">
        <f>D133/(100/15.22)</f>
        <v>#N/A</v>
      </c>
      <c r="H133" s="12" t="e">
        <f t="shared" ref="H133:H159" si="42">(E133*4)+(F133*9)+(G133*4)</f>
        <v>#N/A</v>
      </c>
      <c r="I133" s="1"/>
    </row>
    <row r="134" spans="1:9" ht="15.75" customHeight="1" thickTop="1" thickBot="1" x14ac:dyDescent="0.3">
      <c r="A134" s="1"/>
      <c r="B134" s="8" t="s">
        <v>142</v>
      </c>
      <c r="C134" s="8" t="s">
        <v>7</v>
      </c>
      <c r="D134" s="9" t="e">
        <f>VLOOKUP(B134,'Nutrition Plan'!$D$31:$F$41,3,0)</f>
        <v>#N/A</v>
      </c>
      <c r="E134" s="10" t="e">
        <f>D134/(100/0.25)</f>
        <v>#N/A</v>
      </c>
      <c r="F134" s="11" t="e">
        <f>D134/(100/0.12)</f>
        <v>#N/A</v>
      </c>
      <c r="G134" s="10" t="e">
        <f>D134/(100/13.68)</f>
        <v>#N/A</v>
      </c>
      <c r="H134" s="12" t="e">
        <f t="shared" si="42"/>
        <v>#N/A</v>
      </c>
      <c r="I134" s="1"/>
    </row>
    <row r="135" spans="1:9" ht="15.75" customHeight="1" thickTop="1" thickBot="1" x14ac:dyDescent="0.3">
      <c r="A135" s="1"/>
      <c r="B135" s="8" t="s">
        <v>143</v>
      </c>
      <c r="C135" s="8" t="s">
        <v>7</v>
      </c>
      <c r="D135" s="9" t="e">
        <f>VLOOKUP(B135,'Nutrition Plan'!$D$31:$F$41,3,0)</f>
        <v>#N/A</v>
      </c>
      <c r="E135" s="10" t="e">
        <f>D135/(100/0.44)</f>
        <v>#N/A</v>
      </c>
      <c r="F135" s="11" t="e">
        <f>D135/(100/0.19)</f>
        <v>#N/A</v>
      </c>
      <c r="G135" s="10" t="e">
        <f>D135/(100/13.61)</f>
        <v>#N/A</v>
      </c>
      <c r="H135" s="12" t="e">
        <f t="shared" si="42"/>
        <v>#N/A</v>
      </c>
      <c r="I135" s="1"/>
    </row>
    <row r="136" spans="1:9" ht="15.75" customHeight="1" thickTop="1" thickBot="1" x14ac:dyDescent="0.3">
      <c r="A136" s="1"/>
      <c r="B136" s="8" t="s">
        <v>144</v>
      </c>
      <c r="C136" s="8" t="s">
        <v>7</v>
      </c>
      <c r="D136" s="9" t="e">
        <f>VLOOKUP(B136,'Nutrition Plan'!$D$31:$F$41,3,0)</f>
        <v>#N/A</v>
      </c>
      <c r="E136" s="10">
        <v>0</v>
      </c>
      <c r="F136" s="11">
        <v>0</v>
      </c>
      <c r="G136" s="10" t="e">
        <f>D136/(122/13)</f>
        <v>#N/A</v>
      </c>
      <c r="H136" s="12" t="e">
        <f t="shared" si="42"/>
        <v>#N/A</v>
      </c>
      <c r="I136" s="1"/>
    </row>
    <row r="137" spans="1:9" ht="15.75" customHeight="1" thickTop="1" thickBot="1" x14ac:dyDescent="0.3">
      <c r="A137" s="1"/>
      <c r="B137" s="8" t="s">
        <v>145</v>
      </c>
      <c r="C137" s="8" t="s">
        <v>7</v>
      </c>
      <c r="D137" s="9" t="e">
        <f>VLOOKUP(B137,'Nutrition Plan'!$D$31:$F$41,3,0)</f>
        <v>#N/A</v>
      </c>
      <c r="E137" s="10" t="e">
        <f>D137/(100/2)</f>
        <v>#N/A</v>
      </c>
      <c r="F137" s="11" t="e">
        <f>D137/(100/14.66)</f>
        <v>#N/A</v>
      </c>
      <c r="G137" s="10" t="e">
        <f>D137/(100/8.53)</f>
        <v>#N/A</v>
      </c>
      <c r="H137" s="12" t="e">
        <f t="shared" si="42"/>
        <v>#N/A</v>
      </c>
      <c r="I137" s="1"/>
    </row>
    <row r="138" spans="1:9" ht="15.75" customHeight="1" thickTop="1" thickBot="1" x14ac:dyDescent="0.3">
      <c r="A138" s="1"/>
      <c r="B138" s="8" t="s">
        <v>146</v>
      </c>
      <c r="C138" s="8" t="s">
        <v>7</v>
      </c>
      <c r="D138" s="9" t="e">
        <f>VLOOKUP(B138,'Nutrition Plan'!$D$31:$F$41,3,0)</f>
        <v>#N/A</v>
      </c>
      <c r="E138" s="10" t="e">
        <f>D138/(100/1.1)</f>
        <v>#N/A</v>
      </c>
      <c r="F138" s="11" t="e">
        <f t="shared" ref="F138:F139" si="43">D138/(100/0.33)</f>
        <v>#N/A</v>
      </c>
      <c r="G138" s="10" t="e">
        <f>D138/(100/22.84)</f>
        <v>#N/A</v>
      </c>
      <c r="H138" s="12" t="e">
        <f t="shared" si="42"/>
        <v>#N/A</v>
      </c>
      <c r="I138" s="1"/>
    </row>
    <row r="139" spans="1:9" ht="15.75" customHeight="1" thickTop="1" thickBot="1" x14ac:dyDescent="0.3">
      <c r="A139" s="1"/>
      <c r="B139" s="8" t="s">
        <v>147</v>
      </c>
      <c r="C139" s="8" t="s">
        <v>7</v>
      </c>
      <c r="D139" s="9" t="e">
        <f>VLOOKUP(B139,'Nutrition Plan'!$D$31:$F$41,3,0)</f>
        <v>#N/A</v>
      </c>
      <c r="E139" s="10" t="e">
        <f>D139/(100/0.74)</f>
        <v>#N/A</v>
      </c>
      <c r="F139" s="11" t="e">
        <f t="shared" si="43"/>
        <v>#N/A</v>
      </c>
      <c r="G139" s="10" t="e">
        <f>D139/(100/14.49)</f>
        <v>#N/A</v>
      </c>
      <c r="H139" s="12" t="e">
        <f t="shared" si="42"/>
        <v>#N/A</v>
      </c>
      <c r="I139" s="1"/>
    </row>
    <row r="140" spans="1:9" ht="15.75" customHeight="1" thickTop="1" thickBot="1" x14ac:dyDescent="0.3">
      <c r="A140" s="1"/>
      <c r="B140" s="8" t="s">
        <v>148</v>
      </c>
      <c r="C140" s="8" t="s">
        <v>7</v>
      </c>
      <c r="D140" s="9" t="e">
        <f>VLOOKUP(B140,'Nutrition Plan'!$D$31:$F$41,3,0)</f>
        <v>#N/A</v>
      </c>
      <c r="E140" s="10" t="e">
        <f>D140/(28/0.18)</f>
        <v>#N/A</v>
      </c>
      <c r="F140" s="11" t="e">
        <f>D140/(28/0.03)</f>
        <v>#N/A</v>
      </c>
      <c r="G140" s="10" t="e">
        <f>D140/(28/2.26)</f>
        <v>#N/A</v>
      </c>
      <c r="H140" s="12" t="e">
        <f t="shared" si="42"/>
        <v>#N/A</v>
      </c>
      <c r="I140" s="1"/>
    </row>
    <row r="141" spans="1:9" ht="15.75" customHeight="1" thickTop="1" thickBot="1" x14ac:dyDescent="0.3">
      <c r="A141" s="1"/>
      <c r="B141" s="8" t="s">
        <v>149</v>
      </c>
      <c r="C141" s="8" t="s">
        <v>7</v>
      </c>
      <c r="D141" s="9" t="e">
        <f>VLOOKUP(B141,'Nutrition Plan'!$D$31:$F$41,3,0)</f>
        <v>#N/A</v>
      </c>
      <c r="E141" s="10" t="e">
        <f>D141/(100/0.72)</f>
        <v>#N/A</v>
      </c>
      <c r="F141" s="11" t="e">
        <f>D141/(100/0.16)</f>
        <v>#N/A</v>
      </c>
      <c r="G141" s="10" t="e">
        <f>D141/(100/18.1)</f>
        <v>#N/A</v>
      </c>
      <c r="H141" s="12" t="e">
        <f t="shared" si="42"/>
        <v>#N/A</v>
      </c>
      <c r="I141" s="1"/>
    </row>
    <row r="142" spans="1:9" ht="15.75" customHeight="1" thickTop="1" thickBot="1" x14ac:dyDescent="0.3">
      <c r="A142" s="1"/>
      <c r="B142" s="8" t="s">
        <v>150</v>
      </c>
      <c r="C142" s="8" t="s">
        <v>7</v>
      </c>
      <c r="D142" s="9" t="e">
        <f>VLOOKUP(B142,'Nutrition Plan'!$D$31:$F$41,3,0)</f>
        <v>#N/A</v>
      </c>
      <c r="E142" s="10" t="e">
        <f>D142/(28/0.32)</f>
        <v>#N/A</v>
      </c>
      <c r="F142" s="11" t="e">
        <f>D142/(28/0.15)</f>
        <v>#N/A</v>
      </c>
      <c r="G142" s="10" t="e">
        <f>D142/(28/4.1)</f>
        <v>#N/A</v>
      </c>
      <c r="H142" s="12" t="e">
        <f t="shared" si="42"/>
        <v>#N/A</v>
      </c>
      <c r="I142" s="1"/>
    </row>
    <row r="143" spans="1:9" ht="15.75" customHeight="1" thickTop="1" thickBot="1" x14ac:dyDescent="0.3">
      <c r="A143" s="1"/>
      <c r="B143" s="8" t="s">
        <v>151</v>
      </c>
      <c r="C143" s="8" t="s">
        <v>7</v>
      </c>
      <c r="D143" s="9" t="e">
        <f>VLOOKUP(B143,'Nutrition Plan'!$D$31:$F$41,3,0)</f>
        <v>#N/A</v>
      </c>
      <c r="E143" s="10" t="e">
        <f>D143/(28/0.23)</f>
        <v>#N/A</v>
      </c>
      <c r="F143" s="11" t="e">
        <f>D143/(28/0.11)</f>
        <v>#N/A</v>
      </c>
      <c r="G143" s="10" t="e">
        <f>D143/(28/4.2)</f>
        <v>#N/A</v>
      </c>
      <c r="H143" s="12" t="e">
        <f t="shared" si="42"/>
        <v>#N/A</v>
      </c>
      <c r="I143" s="1"/>
    </row>
    <row r="144" spans="1:9" ht="15.75" customHeight="1" thickTop="1" thickBot="1" x14ac:dyDescent="0.3">
      <c r="A144" s="1"/>
      <c r="B144" s="8" t="s">
        <v>152</v>
      </c>
      <c r="C144" s="8" t="s">
        <v>7</v>
      </c>
      <c r="D144" s="9" t="e">
        <f>VLOOKUP(B144,'Nutrition Plan'!$D$31:$F$41,3,0)</f>
        <v>#N/A</v>
      </c>
      <c r="E144" s="10" t="e">
        <f>D144/(28/0.3)</f>
        <v>#N/A</v>
      </c>
      <c r="F144" s="11" t="e">
        <f>D144/(28/0.09)</f>
        <v>#N/A</v>
      </c>
      <c r="G144" s="10" t="e">
        <f>D144/(28/3)</f>
        <v>#N/A</v>
      </c>
      <c r="H144" s="12" t="e">
        <f t="shared" si="42"/>
        <v>#N/A</v>
      </c>
      <c r="I144" s="1"/>
    </row>
    <row r="145" spans="1:9" ht="15.75" customHeight="1" thickTop="1" thickBot="1" x14ac:dyDescent="0.3">
      <c r="A145" s="1"/>
      <c r="B145" s="8" t="s">
        <v>153</v>
      </c>
      <c r="C145" s="8" t="s">
        <v>7</v>
      </c>
      <c r="D145" s="9" t="e">
        <f>VLOOKUP(B145,'Nutrition Plan'!$D$31:$F$41,3,0)</f>
        <v>#N/A</v>
      </c>
      <c r="E145" s="10" t="e">
        <f>D145/(28/0.26)</f>
        <v>#N/A</v>
      </c>
      <c r="F145" s="11" t="e">
        <f>D145/(28/0.03)</f>
        <v>#N/A</v>
      </c>
      <c r="G145" s="10" t="e">
        <f>D145/(28/3.3)</f>
        <v>#N/A</v>
      </c>
      <c r="H145" s="12" t="e">
        <f t="shared" si="42"/>
        <v>#N/A</v>
      </c>
      <c r="I145" s="1"/>
    </row>
    <row r="146" spans="1:9" ht="15.75" customHeight="1" thickTop="1" thickBot="1" x14ac:dyDescent="0.3">
      <c r="A146" s="1"/>
      <c r="B146" s="8" t="s">
        <v>154</v>
      </c>
      <c r="C146" s="8" t="s">
        <v>7</v>
      </c>
      <c r="D146" s="9" t="e">
        <f>VLOOKUP(B146,'Nutrition Plan'!$D$31:$F$41,3,0)</f>
        <v>#N/A</v>
      </c>
      <c r="E146" s="10" t="e">
        <f>D146/(28/0.25)</f>
        <v>#N/A</v>
      </c>
      <c r="F146" s="11" t="e">
        <f>D146/(28/0.07)</f>
        <v>#N/A</v>
      </c>
      <c r="G146" s="10" t="e">
        <f>D146/(28/2.67)</f>
        <v>#N/A</v>
      </c>
      <c r="H146" s="12" t="e">
        <f t="shared" si="42"/>
        <v>#N/A</v>
      </c>
      <c r="I146" s="1"/>
    </row>
    <row r="147" spans="1:9" ht="15.75" customHeight="1" thickTop="1" thickBot="1" x14ac:dyDescent="0.3">
      <c r="A147" s="1"/>
      <c r="B147" s="8" t="s">
        <v>155</v>
      </c>
      <c r="C147" s="8" t="s">
        <v>7</v>
      </c>
      <c r="D147" s="9" t="e">
        <f>VLOOKUP(B147,'Nutrition Plan'!$D$31:$F$41,3,0)</f>
        <v>#N/A</v>
      </c>
      <c r="E147" s="10" t="e">
        <f>D147/(28/0.15)</f>
        <v>#N/A</v>
      </c>
      <c r="F147" s="11" t="e">
        <f>D147/(28/0.03)</f>
        <v>#N/A</v>
      </c>
      <c r="G147" s="10" t="e">
        <f>D147/(28/3.67)</f>
        <v>#N/A</v>
      </c>
      <c r="H147" s="12" t="e">
        <f t="shared" si="42"/>
        <v>#N/A</v>
      </c>
      <c r="I147" s="1"/>
    </row>
    <row r="148" spans="1:9" ht="15.75" customHeight="1" thickTop="1" thickBot="1" x14ac:dyDescent="0.3">
      <c r="A148" s="1"/>
      <c r="B148" s="8" t="s">
        <v>156</v>
      </c>
      <c r="C148" s="8" t="s">
        <v>7</v>
      </c>
      <c r="D148" s="9" t="e">
        <f>VLOOKUP(B148,'Nutrition Plan'!$D$31:$F$41,3,0)</f>
        <v>#N/A</v>
      </c>
      <c r="E148" s="10" t="e">
        <f>D148/(28/0.2)</f>
        <v>#N/A</v>
      </c>
      <c r="F148" s="11" t="e">
        <f>D148/(28/0.08)</f>
        <v>#N/A</v>
      </c>
      <c r="G148" s="10" t="e">
        <f>D148/(28/3.2)</f>
        <v>#N/A</v>
      </c>
      <c r="H148" s="12" t="e">
        <f t="shared" si="42"/>
        <v>#N/A</v>
      </c>
      <c r="I148" s="1"/>
    </row>
    <row r="149" spans="1:9" ht="15.75" customHeight="1" thickTop="1" thickBot="1" x14ac:dyDescent="0.3">
      <c r="A149" s="1"/>
      <c r="B149" s="8" t="s">
        <v>157</v>
      </c>
      <c r="C149" s="8" t="s">
        <v>7</v>
      </c>
      <c r="D149" s="9" t="e">
        <f>VLOOKUP(B149,'Nutrition Plan'!$D$31:$F$41,3,0)</f>
        <v>#N/A</v>
      </c>
      <c r="E149" s="10" t="e">
        <f>D149/(100/1.2)</f>
        <v>#N/A</v>
      </c>
      <c r="F149" s="11" t="e">
        <f>D149/(100/0.65)</f>
        <v>#N/A</v>
      </c>
      <c r="G149" s="10" t="e">
        <f>D149/(100/11.4)</f>
        <v>#N/A</v>
      </c>
      <c r="H149" s="12" t="e">
        <f t="shared" si="42"/>
        <v>#N/A</v>
      </c>
      <c r="I149" s="1"/>
    </row>
    <row r="150" spans="1:9" ht="15.75" customHeight="1" thickTop="1" thickBot="1" x14ac:dyDescent="0.3">
      <c r="A150" s="1"/>
      <c r="B150" s="8" t="s">
        <v>158</v>
      </c>
      <c r="C150" s="8" t="s">
        <v>7</v>
      </c>
      <c r="D150" s="9" t="e">
        <f>VLOOKUP(B150,'Nutrition Plan'!$D$31:$F$41,3,0)</f>
        <v>#N/A</v>
      </c>
      <c r="E150" s="10" t="e">
        <f>D150/(28/0.19)</f>
        <v>#N/A</v>
      </c>
      <c r="F150" s="11" t="e">
        <f>D150/(28/0.08)</f>
        <v>#N/A</v>
      </c>
      <c r="G150" s="10" t="e">
        <f>D150/(28/2.15)</f>
        <v>#N/A</v>
      </c>
      <c r="H150" s="12" t="e">
        <f t="shared" si="42"/>
        <v>#N/A</v>
      </c>
      <c r="I150" s="1"/>
    </row>
    <row r="151" spans="1:9" ht="15.75" customHeight="1" thickTop="1" thickBot="1" x14ac:dyDescent="0.3">
      <c r="A151" s="1"/>
      <c r="B151" s="8" t="s">
        <v>159</v>
      </c>
      <c r="C151" s="8" t="s">
        <v>7</v>
      </c>
      <c r="D151" s="9" t="e">
        <f>VLOOKUP(B151,'Nutrition Plan'!$D$31:$F$41,3,0)</f>
        <v>#N/A</v>
      </c>
      <c r="E151" s="10" t="e">
        <f>D151/(100/0.61)</f>
        <v>#N/A</v>
      </c>
      <c r="F151" s="11" t="e">
        <f>D151/(100/0.15)</f>
        <v>#N/A</v>
      </c>
      <c r="G151" s="10" t="e">
        <f>D151/(100/7.55)</f>
        <v>#N/A</v>
      </c>
      <c r="H151" s="12" t="e">
        <f t="shared" si="42"/>
        <v>#N/A</v>
      </c>
      <c r="I151" s="1"/>
    </row>
    <row r="152" spans="1:9" ht="15.75" customHeight="1" thickTop="1" thickBot="1" x14ac:dyDescent="0.3">
      <c r="A152" s="1"/>
      <c r="B152" s="8" t="s">
        <v>160</v>
      </c>
      <c r="C152" s="8" t="s">
        <v>7</v>
      </c>
      <c r="D152" s="9" t="e">
        <f>VLOOKUP(B152,'Nutrition Plan'!$D$31:$F$41,3,0)</f>
        <v>#N/A</v>
      </c>
      <c r="E152" s="10" t="e">
        <f>D152/(28/4)</f>
        <v>#N/A</v>
      </c>
      <c r="F152" s="11" t="e">
        <f>D152/(28/2.2)</f>
        <v>#N/A</v>
      </c>
      <c r="G152" s="10" t="e">
        <f>D152/(28/1)</f>
        <v>#N/A</v>
      </c>
      <c r="H152" s="12" t="e">
        <f t="shared" si="42"/>
        <v>#N/A</v>
      </c>
      <c r="I152" s="1"/>
    </row>
    <row r="153" spans="1:9" ht="15.75" customHeight="1" thickTop="1" thickBot="1" x14ac:dyDescent="0.3">
      <c r="A153" s="1"/>
      <c r="B153" s="8" t="s">
        <v>161</v>
      </c>
      <c r="C153" s="8" t="s">
        <v>7</v>
      </c>
      <c r="D153" s="9" t="e">
        <f>VLOOKUP(B153,'Nutrition Plan'!$D$31:$F$41,3,0)</f>
        <v>#N/A</v>
      </c>
      <c r="E153" s="10" t="e">
        <f>D153/(28/0.67)</f>
        <v>#N/A</v>
      </c>
      <c r="F153" s="11" t="e">
        <f>D153/(28/0.06)</f>
        <v>#N/A</v>
      </c>
      <c r="G153" s="10" t="e">
        <f>D153/(28/1.15)</f>
        <v>#N/A</v>
      </c>
      <c r="H153" s="12" t="e">
        <f t="shared" si="42"/>
        <v>#N/A</v>
      </c>
      <c r="I153" s="1"/>
    </row>
    <row r="154" spans="1:9" ht="15.75" customHeight="1" thickTop="1" thickBot="1" x14ac:dyDescent="0.3">
      <c r="A154" s="1"/>
      <c r="B154" s="8" t="s">
        <v>162</v>
      </c>
      <c r="C154" s="8" t="s">
        <v>7</v>
      </c>
      <c r="D154" s="9" t="e">
        <f>VLOOKUP(B154,'Nutrition Plan'!$D$31:$F$41,3,0)</f>
        <v>#N/A</v>
      </c>
      <c r="E154" s="10" t="e">
        <f>D154/(28/0.87)</f>
        <v>#N/A</v>
      </c>
      <c r="F154" s="11" t="e">
        <f t="shared" ref="F154:F155" si="44">D154/(28/0.03)</f>
        <v>#N/A</v>
      </c>
      <c r="G154" s="10" t="e">
        <f>D154/(28/1.5)</f>
        <v>#N/A</v>
      </c>
      <c r="H154" s="12" t="e">
        <f t="shared" si="42"/>
        <v>#N/A</v>
      </c>
      <c r="I154" s="1"/>
    </row>
    <row r="155" spans="1:9" ht="15.75" customHeight="1" thickTop="1" thickBot="1" x14ac:dyDescent="0.3">
      <c r="A155" s="1"/>
      <c r="B155" s="8" t="s">
        <v>163</v>
      </c>
      <c r="C155" s="8" t="s">
        <v>7</v>
      </c>
      <c r="D155" s="9" t="e">
        <f>VLOOKUP(B155,'Nutrition Plan'!$D$31:$F$41,3,0)</f>
        <v>#N/A</v>
      </c>
      <c r="E155" s="10" t="e">
        <f>D155/(28/0.36)</f>
        <v>#N/A</v>
      </c>
      <c r="F155" s="11" t="e">
        <f t="shared" si="44"/>
        <v>#N/A</v>
      </c>
      <c r="G155" s="10" t="e">
        <f>D155/(28/1.62)</f>
        <v>#N/A</v>
      </c>
      <c r="H155" s="12" t="e">
        <f t="shared" si="42"/>
        <v>#N/A</v>
      </c>
      <c r="I155" s="1"/>
    </row>
    <row r="156" spans="1:9" ht="15.75" customHeight="1" thickTop="1" thickBot="1" x14ac:dyDescent="0.3">
      <c r="A156" s="1"/>
      <c r="B156" s="8" t="s">
        <v>164</v>
      </c>
      <c r="C156" s="8" t="s">
        <v>7</v>
      </c>
      <c r="D156" s="9" t="e">
        <f>VLOOKUP(B156,'Nutrition Plan'!$D$31:$F$41,3,0)</f>
        <v>#N/A</v>
      </c>
      <c r="E156" s="10" t="e">
        <f>D156/(28/0.54)</f>
        <v>#N/A</v>
      </c>
      <c r="F156" s="11" t="e">
        <f t="shared" ref="F156:F157" si="45">D156/(28/0.08)</f>
        <v>#N/A</v>
      </c>
      <c r="G156" s="10" t="e">
        <f>D156/(28/1.4)</f>
        <v>#N/A</v>
      </c>
      <c r="H156" s="12" t="e">
        <f t="shared" si="42"/>
        <v>#N/A</v>
      </c>
      <c r="I156" s="1"/>
    </row>
    <row r="157" spans="1:9" ht="15.75" customHeight="1" thickTop="1" thickBot="1" x14ac:dyDescent="0.3">
      <c r="A157" s="1"/>
      <c r="B157" s="8" t="s">
        <v>165</v>
      </c>
      <c r="C157" s="8" t="s">
        <v>7</v>
      </c>
      <c r="D157" s="9" t="e">
        <f>VLOOKUP(B157,'Nutrition Plan'!$D$31:$F$41,3,0)</f>
        <v>#N/A</v>
      </c>
      <c r="E157" s="10" t="e">
        <f>D157/(28/0.34)</f>
        <v>#N/A</v>
      </c>
      <c r="F157" s="11" t="e">
        <f t="shared" si="45"/>
        <v>#N/A</v>
      </c>
      <c r="G157" s="10" t="e">
        <f>D157/(28/0.92)</f>
        <v>#N/A</v>
      </c>
      <c r="H157" s="12" t="e">
        <f t="shared" si="42"/>
        <v>#N/A</v>
      </c>
      <c r="I157" s="1"/>
    </row>
    <row r="158" spans="1:9" ht="15.75" customHeight="1" thickTop="1" thickBot="1" x14ac:dyDescent="0.3">
      <c r="A158" s="1"/>
      <c r="B158" s="8" t="s">
        <v>166</v>
      </c>
      <c r="C158" s="8" t="s">
        <v>7</v>
      </c>
      <c r="D158" s="9" t="e">
        <f>VLOOKUP(B158,'Nutrition Plan'!$D$31:$F$41,3,0)</f>
        <v>#N/A</v>
      </c>
      <c r="E158" s="10" t="e">
        <f>D158/(28/1.12)</f>
        <v>#N/A</v>
      </c>
      <c r="F158" s="11" t="e">
        <f>D158/(28/0.24)</f>
        <v>#N/A</v>
      </c>
      <c r="G158" s="10" t="e">
        <f>D158/(28/1.34)</f>
        <v>#N/A</v>
      </c>
      <c r="H158" s="12" t="e">
        <f t="shared" si="42"/>
        <v>#N/A</v>
      </c>
      <c r="I158" s="1"/>
    </row>
    <row r="159" spans="1:9" ht="15.75" customHeight="1" thickTop="1" thickBot="1" x14ac:dyDescent="0.3">
      <c r="A159" s="1"/>
      <c r="B159" s="8" t="s">
        <v>167</v>
      </c>
      <c r="C159" s="8" t="s">
        <v>7</v>
      </c>
      <c r="D159" s="9" t="e">
        <f>VLOOKUP(B159,'Nutrition Plan'!$D$31:$F$41,3,0)</f>
        <v>#N/A</v>
      </c>
      <c r="E159" s="10" t="e">
        <f>D159/(28/0.34)</f>
        <v>#N/A</v>
      </c>
      <c r="F159" s="11" t="e">
        <f>D159/(28/0.09)</f>
        <v>#N/A</v>
      </c>
      <c r="G159" s="10" t="e">
        <f>D159/(28/0.87)</f>
        <v>#N/A</v>
      </c>
      <c r="H159" s="12" t="e">
        <f t="shared" si="42"/>
        <v>#N/A</v>
      </c>
      <c r="I159" s="1"/>
    </row>
    <row r="160" spans="1:9" ht="15.75" customHeight="1" thickTop="1" x14ac:dyDescent="0.25">
      <c r="A160" s="1"/>
      <c r="B160" s="1"/>
      <c r="C160" s="1"/>
      <c r="D160" s="1"/>
      <c r="E160" s="1"/>
      <c r="F160" s="1"/>
      <c r="G160" s="1"/>
      <c r="H160" s="1"/>
      <c r="I160" s="1"/>
    </row>
    <row r="161" spans="1:1" ht="15.75" customHeight="1" x14ac:dyDescent="0.25">
      <c r="A161" s="7"/>
    </row>
    <row r="162" spans="1:1" ht="15.75" customHeight="1" x14ac:dyDescent="0.25">
      <c r="A162" s="7"/>
    </row>
    <row r="163" spans="1:1" ht="15.75" customHeight="1" x14ac:dyDescent="0.25">
      <c r="A163" s="7"/>
    </row>
    <row r="164" spans="1:1" ht="15.75" customHeight="1" x14ac:dyDescent="0.25">
      <c r="A164" s="7"/>
    </row>
    <row r="165" spans="1:1" ht="15.75" customHeight="1" x14ac:dyDescent="0.25">
      <c r="A165" s="7"/>
    </row>
    <row r="166" spans="1:1" ht="15.75" customHeight="1" x14ac:dyDescent="0.25">
      <c r="A166" s="7"/>
    </row>
    <row r="167" spans="1:1" ht="15.75" customHeight="1" x14ac:dyDescent="0.25">
      <c r="A167" s="7"/>
    </row>
    <row r="168" spans="1:1" ht="15.75" customHeight="1" x14ac:dyDescent="0.25">
      <c r="A168" s="7"/>
    </row>
    <row r="169" spans="1:1" ht="15.75" customHeight="1" x14ac:dyDescent="0.25">
      <c r="A169" s="7"/>
    </row>
    <row r="170" spans="1:1" ht="15.75" customHeight="1" x14ac:dyDescent="0.25">
      <c r="A170" s="7"/>
    </row>
    <row r="171" spans="1:1" ht="15.75" customHeight="1" x14ac:dyDescent="0.25">
      <c r="A171" s="7"/>
    </row>
    <row r="172" spans="1:1" ht="15.75" customHeight="1" x14ac:dyDescent="0.25">
      <c r="A172" s="7"/>
    </row>
    <row r="173" spans="1:1" ht="15.75" customHeight="1" x14ac:dyDescent="0.25">
      <c r="A173" s="7"/>
    </row>
    <row r="174" spans="1:1" ht="15.75" customHeight="1" x14ac:dyDescent="0.25">
      <c r="A174" s="7"/>
    </row>
    <row r="175" spans="1:1" ht="15.75" customHeight="1" x14ac:dyDescent="0.25">
      <c r="A175" s="7"/>
    </row>
    <row r="176" spans="1:1" ht="15.75" customHeight="1" x14ac:dyDescent="0.25">
      <c r="A176" s="7"/>
    </row>
    <row r="177" spans="1:1" ht="15.75" customHeight="1" x14ac:dyDescent="0.25">
      <c r="A177" s="7"/>
    </row>
    <row r="178" spans="1:1" ht="15.75" customHeight="1" x14ac:dyDescent="0.25">
      <c r="A178" s="7"/>
    </row>
    <row r="179" spans="1:1" ht="15.75" customHeight="1" x14ac:dyDescent="0.25">
      <c r="A179" s="7"/>
    </row>
    <row r="180" spans="1:1" ht="15.75" customHeight="1" x14ac:dyDescent="0.25">
      <c r="A180" s="7"/>
    </row>
    <row r="181" spans="1:1" ht="15.75" customHeight="1" x14ac:dyDescent="0.25">
      <c r="A181" s="7"/>
    </row>
    <row r="182" spans="1:1" ht="15.75" customHeight="1" x14ac:dyDescent="0.25">
      <c r="A182" s="7"/>
    </row>
    <row r="183" spans="1:1" ht="15.75" customHeight="1" x14ac:dyDescent="0.25">
      <c r="A183" s="7"/>
    </row>
    <row r="184" spans="1:1" ht="15.75" customHeight="1" x14ac:dyDescent="0.25">
      <c r="A184" s="7"/>
    </row>
    <row r="185" spans="1:1" ht="15.75" customHeight="1" x14ac:dyDescent="0.25">
      <c r="A185" s="7"/>
    </row>
    <row r="186" spans="1:1" ht="15.75" customHeight="1" x14ac:dyDescent="0.25">
      <c r="A186" s="7"/>
    </row>
    <row r="187" spans="1:1" ht="15.75" customHeight="1" x14ac:dyDescent="0.25">
      <c r="A187" s="7"/>
    </row>
    <row r="188" spans="1:1" ht="15.75" customHeight="1" x14ac:dyDescent="0.25">
      <c r="A188" s="7"/>
    </row>
    <row r="189" spans="1:1" ht="15.75" customHeight="1" x14ac:dyDescent="0.25">
      <c r="A189" s="7"/>
    </row>
    <row r="190" spans="1:1" ht="15.75" customHeight="1" x14ac:dyDescent="0.25">
      <c r="A190" s="7"/>
    </row>
    <row r="191" spans="1:1" ht="15.75" customHeight="1" x14ac:dyDescent="0.25">
      <c r="A191" s="7"/>
    </row>
    <row r="192" spans="1:1" ht="15.75" customHeight="1" x14ac:dyDescent="0.25">
      <c r="A192" s="7"/>
    </row>
    <row r="193" spans="1:1" ht="15.75" customHeight="1" x14ac:dyDescent="0.25">
      <c r="A193" s="7"/>
    </row>
    <row r="194" spans="1:1" ht="15.75" customHeight="1" x14ac:dyDescent="0.25">
      <c r="A194" s="7"/>
    </row>
    <row r="195" spans="1:1" ht="15.75" customHeight="1" x14ac:dyDescent="0.25">
      <c r="A195" s="7"/>
    </row>
    <row r="196" spans="1:1" ht="15.75" customHeight="1" x14ac:dyDescent="0.25">
      <c r="A196" s="7"/>
    </row>
    <row r="197" spans="1:1" ht="15.75" customHeight="1" x14ac:dyDescent="0.25">
      <c r="A197" s="7"/>
    </row>
    <row r="198" spans="1:1" ht="15.75" customHeight="1" x14ac:dyDescent="0.25">
      <c r="A198" s="7"/>
    </row>
    <row r="199" spans="1:1" ht="15.75" customHeight="1" x14ac:dyDescent="0.25">
      <c r="A199" s="7"/>
    </row>
    <row r="200" spans="1:1" ht="15.75" customHeight="1" x14ac:dyDescent="0.25">
      <c r="A200" s="7"/>
    </row>
    <row r="201" spans="1:1" ht="15.75" customHeight="1" x14ac:dyDescent="0.25">
      <c r="A201" s="7"/>
    </row>
    <row r="202" spans="1:1" ht="15.75" customHeight="1" x14ac:dyDescent="0.25">
      <c r="A202" s="7"/>
    </row>
    <row r="203" spans="1:1" ht="15.75" customHeight="1" x14ac:dyDescent="0.25">
      <c r="A203" s="7"/>
    </row>
    <row r="204" spans="1:1" ht="15.75" customHeight="1" x14ac:dyDescent="0.25">
      <c r="A204" s="7"/>
    </row>
    <row r="205" spans="1:1" ht="15.75" customHeight="1" x14ac:dyDescent="0.25">
      <c r="A205" s="7"/>
    </row>
    <row r="206" spans="1:1" ht="15.75" customHeight="1" x14ac:dyDescent="0.25">
      <c r="A206" s="7"/>
    </row>
    <row r="207" spans="1:1" ht="15.75" customHeight="1" x14ac:dyDescent="0.25">
      <c r="A207" s="7"/>
    </row>
    <row r="208" spans="1:1" ht="15.75" customHeight="1" x14ac:dyDescent="0.25">
      <c r="A208" s="7"/>
    </row>
    <row r="209" spans="1:1" ht="15.75" customHeight="1" x14ac:dyDescent="0.25">
      <c r="A209" s="7"/>
    </row>
    <row r="210" spans="1:1" ht="15.75" customHeight="1" x14ac:dyDescent="0.25">
      <c r="A210" s="7"/>
    </row>
    <row r="211" spans="1:1" ht="15.75" customHeight="1" x14ac:dyDescent="0.25">
      <c r="A211" s="7"/>
    </row>
    <row r="212" spans="1:1" ht="15.75" customHeight="1" x14ac:dyDescent="0.25">
      <c r="A212" s="7"/>
    </row>
    <row r="213" spans="1:1" ht="15.75" customHeight="1" x14ac:dyDescent="0.25">
      <c r="A213" s="7"/>
    </row>
    <row r="214" spans="1:1" ht="15.75" customHeight="1" x14ac:dyDescent="0.25">
      <c r="A214" s="7"/>
    </row>
    <row r="215" spans="1:1" ht="15.75" customHeight="1" x14ac:dyDescent="0.25">
      <c r="A215" s="7"/>
    </row>
    <row r="216" spans="1:1" ht="15.75" customHeight="1" x14ac:dyDescent="0.25">
      <c r="A216" s="7"/>
    </row>
    <row r="217" spans="1:1" ht="15.75" customHeight="1" x14ac:dyDescent="0.25">
      <c r="A217" s="7"/>
    </row>
    <row r="218" spans="1:1" ht="15.75" customHeight="1" x14ac:dyDescent="0.25">
      <c r="A218" s="7"/>
    </row>
    <row r="219" spans="1:1" ht="15.75" customHeight="1" x14ac:dyDescent="0.25">
      <c r="A219" s="7"/>
    </row>
    <row r="220" spans="1:1" ht="15.75" customHeight="1" x14ac:dyDescent="0.25">
      <c r="A220" s="7"/>
    </row>
    <row r="221" spans="1:1" ht="15.75" customHeight="1" x14ac:dyDescent="0.25">
      <c r="A221" s="7"/>
    </row>
    <row r="222" spans="1:1" ht="15.75" customHeight="1" x14ac:dyDescent="0.25">
      <c r="A222" s="7"/>
    </row>
    <row r="223" spans="1:1" ht="15.75" customHeight="1" x14ac:dyDescent="0.25">
      <c r="A223" s="7"/>
    </row>
    <row r="224" spans="1:1" ht="15.75" customHeight="1" x14ac:dyDescent="0.25">
      <c r="A224" s="7"/>
    </row>
    <row r="225" spans="1:1" ht="15.75" customHeight="1" x14ac:dyDescent="0.25">
      <c r="A225" s="7"/>
    </row>
    <row r="226" spans="1:1" ht="15.75" customHeight="1" x14ac:dyDescent="0.25">
      <c r="A226" s="7"/>
    </row>
    <row r="227" spans="1:1" ht="15.75" customHeight="1" x14ac:dyDescent="0.25">
      <c r="A227" s="7"/>
    </row>
    <row r="228" spans="1:1" ht="15.75" customHeight="1" x14ac:dyDescent="0.25">
      <c r="A228" s="7"/>
    </row>
    <row r="229" spans="1:1" ht="15.75" customHeight="1" x14ac:dyDescent="0.25">
      <c r="A229" s="7"/>
    </row>
    <row r="230" spans="1:1" ht="15.75" customHeight="1" x14ac:dyDescent="0.25">
      <c r="A230" s="7"/>
    </row>
    <row r="231" spans="1:1" ht="15.75" customHeight="1" x14ac:dyDescent="0.25">
      <c r="A231" s="7"/>
    </row>
    <row r="232" spans="1:1" ht="15.75" customHeight="1" x14ac:dyDescent="0.25">
      <c r="A232" s="7"/>
    </row>
    <row r="233" spans="1:1" ht="15.75" customHeight="1" x14ac:dyDescent="0.25">
      <c r="A233" s="7"/>
    </row>
    <row r="234" spans="1:1" ht="15.75" customHeight="1" x14ac:dyDescent="0.25">
      <c r="A234" s="7"/>
    </row>
    <row r="235" spans="1:1" ht="15.75" customHeight="1" x14ac:dyDescent="0.25">
      <c r="A235" s="7"/>
    </row>
    <row r="236" spans="1:1" ht="15.75" customHeight="1" x14ac:dyDescent="0.25">
      <c r="A236" s="7"/>
    </row>
    <row r="237" spans="1:1" ht="15.75" customHeight="1" x14ac:dyDescent="0.25">
      <c r="A237" s="7"/>
    </row>
    <row r="238" spans="1:1" ht="15.75" customHeight="1" x14ac:dyDescent="0.25">
      <c r="A238" s="7"/>
    </row>
    <row r="239" spans="1:1" ht="15.75" customHeight="1" x14ac:dyDescent="0.25">
      <c r="A239" s="7"/>
    </row>
    <row r="240" spans="1:1" ht="15.75" customHeight="1" x14ac:dyDescent="0.25">
      <c r="A240" s="7"/>
    </row>
    <row r="241" spans="1:1" ht="15.75" customHeight="1" x14ac:dyDescent="0.25">
      <c r="A241" s="7"/>
    </row>
    <row r="242" spans="1:1" ht="15.75" customHeight="1" x14ac:dyDescent="0.25">
      <c r="A242" s="7"/>
    </row>
    <row r="243" spans="1:1" ht="15.75" customHeight="1" x14ac:dyDescent="0.25">
      <c r="A243" s="7"/>
    </row>
    <row r="244" spans="1:1" ht="15.75" customHeight="1" x14ac:dyDescent="0.25">
      <c r="A244" s="7"/>
    </row>
    <row r="245" spans="1:1" ht="15.75" customHeight="1" x14ac:dyDescent="0.25">
      <c r="A245" s="7"/>
    </row>
    <row r="246" spans="1:1" ht="15.75" customHeight="1" x14ac:dyDescent="0.25">
      <c r="A246" s="7"/>
    </row>
    <row r="247" spans="1:1" ht="15.75" customHeight="1" x14ac:dyDescent="0.25">
      <c r="A247" s="7"/>
    </row>
    <row r="248" spans="1:1" ht="15.75" customHeight="1" x14ac:dyDescent="0.25">
      <c r="A248" s="7"/>
    </row>
    <row r="249" spans="1:1" ht="15.75" customHeight="1" x14ac:dyDescent="0.25">
      <c r="A249" s="7"/>
    </row>
    <row r="250" spans="1:1" ht="15.75" customHeight="1" x14ac:dyDescent="0.25">
      <c r="A250" s="7"/>
    </row>
    <row r="251" spans="1:1" ht="15.75" customHeight="1" x14ac:dyDescent="0.25">
      <c r="A251" s="7"/>
    </row>
    <row r="252" spans="1:1" ht="15.75" customHeight="1" x14ac:dyDescent="0.25">
      <c r="A252" s="7"/>
    </row>
    <row r="253" spans="1:1" ht="15.75" customHeight="1" x14ac:dyDescent="0.25">
      <c r="A253" s="7"/>
    </row>
    <row r="254" spans="1:1" ht="15.75" customHeight="1" x14ac:dyDescent="0.25">
      <c r="A254" s="7"/>
    </row>
    <row r="255" spans="1:1" ht="15.75" customHeight="1" x14ac:dyDescent="0.25">
      <c r="A255" s="7"/>
    </row>
    <row r="256" spans="1:1" ht="15.75" customHeight="1" x14ac:dyDescent="0.25">
      <c r="A256" s="7"/>
    </row>
    <row r="257" spans="1:1" ht="15.75" customHeight="1" x14ac:dyDescent="0.25">
      <c r="A257" s="7"/>
    </row>
    <row r="258" spans="1:1" ht="15.75" customHeight="1" x14ac:dyDescent="0.25">
      <c r="A258" s="7"/>
    </row>
    <row r="259" spans="1:1" ht="15.75" customHeight="1" x14ac:dyDescent="0.25">
      <c r="A259" s="7"/>
    </row>
    <row r="260" spans="1:1" ht="15.75" customHeight="1" x14ac:dyDescent="0.25">
      <c r="A260" s="7"/>
    </row>
    <row r="261" spans="1:1" ht="15.75" customHeight="1" x14ac:dyDescent="0.25">
      <c r="A261" s="7"/>
    </row>
    <row r="262" spans="1:1" ht="15.75" customHeight="1" x14ac:dyDescent="0.25">
      <c r="A262" s="7"/>
    </row>
    <row r="263" spans="1:1" ht="15.75" customHeight="1" x14ac:dyDescent="0.25">
      <c r="A263" s="7"/>
    </row>
    <row r="264" spans="1:1" ht="15.75" customHeight="1" x14ac:dyDescent="0.25">
      <c r="A264" s="7"/>
    </row>
    <row r="265" spans="1:1" ht="15.75" customHeight="1" x14ac:dyDescent="0.25">
      <c r="A265" s="7"/>
    </row>
    <row r="266" spans="1:1" ht="15.75" customHeight="1" x14ac:dyDescent="0.25">
      <c r="A266" s="7"/>
    </row>
    <row r="267" spans="1:1" ht="15.75" customHeight="1" x14ac:dyDescent="0.25">
      <c r="A267" s="7"/>
    </row>
    <row r="268" spans="1:1" ht="15.75" customHeight="1" x14ac:dyDescent="0.25">
      <c r="A268" s="7"/>
    </row>
    <row r="269" spans="1:1" ht="15.75" customHeight="1" x14ac:dyDescent="0.25">
      <c r="A269" s="7"/>
    </row>
    <row r="270" spans="1:1" ht="15.75" customHeight="1" x14ac:dyDescent="0.25">
      <c r="A270" s="7"/>
    </row>
    <row r="271" spans="1:1" ht="15.75" customHeight="1" x14ac:dyDescent="0.25">
      <c r="A271" s="7"/>
    </row>
    <row r="272" spans="1:1" ht="15.75" customHeight="1" x14ac:dyDescent="0.25">
      <c r="A272" s="7"/>
    </row>
    <row r="273" spans="1:1" ht="15.75" customHeight="1" x14ac:dyDescent="0.25">
      <c r="A273" s="7"/>
    </row>
    <row r="274" spans="1:1" ht="15.75" customHeight="1" x14ac:dyDescent="0.25">
      <c r="A274" s="7"/>
    </row>
    <row r="275" spans="1:1" ht="15.75" customHeight="1" x14ac:dyDescent="0.25">
      <c r="A275" s="7"/>
    </row>
    <row r="276" spans="1:1" ht="15.75" customHeight="1" x14ac:dyDescent="0.25">
      <c r="A276" s="7"/>
    </row>
    <row r="277" spans="1:1" ht="15.75" customHeight="1" x14ac:dyDescent="0.25">
      <c r="A277" s="7"/>
    </row>
    <row r="278" spans="1:1" ht="15.75" customHeight="1" x14ac:dyDescent="0.25">
      <c r="A278" s="7"/>
    </row>
    <row r="279" spans="1:1" ht="15.75" customHeight="1" x14ac:dyDescent="0.25">
      <c r="A279" s="7"/>
    </row>
    <row r="280" spans="1:1" ht="15.75" customHeight="1" x14ac:dyDescent="0.25">
      <c r="A280" s="7"/>
    </row>
    <row r="281" spans="1:1" ht="15.75" customHeight="1" x14ac:dyDescent="0.25">
      <c r="A281" s="7"/>
    </row>
    <row r="282" spans="1:1" ht="15.75" customHeight="1" x14ac:dyDescent="0.25">
      <c r="A282" s="7"/>
    </row>
    <row r="283" spans="1:1" ht="15.75" customHeight="1" x14ac:dyDescent="0.25">
      <c r="A283" s="7"/>
    </row>
    <row r="284" spans="1:1" ht="15.75" customHeight="1" x14ac:dyDescent="0.25">
      <c r="A284" s="7"/>
    </row>
    <row r="285" spans="1:1" ht="15.75" customHeight="1" x14ac:dyDescent="0.25">
      <c r="A285" s="7"/>
    </row>
    <row r="286" spans="1:1" ht="15.75" customHeight="1" x14ac:dyDescent="0.25">
      <c r="A286" s="7"/>
    </row>
    <row r="287" spans="1:1" ht="15.75" customHeight="1" x14ac:dyDescent="0.25">
      <c r="A287" s="7"/>
    </row>
    <row r="288" spans="1:1" ht="15.75" customHeight="1" x14ac:dyDescent="0.25">
      <c r="A288" s="7"/>
    </row>
    <row r="289" spans="1:1" ht="15.75" customHeight="1" x14ac:dyDescent="0.25">
      <c r="A289" s="7"/>
    </row>
    <row r="290" spans="1:1" ht="15.75" customHeight="1" x14ac:dyDescent="0.25">
      <c r="A290" s="7"/>
    </row>
    <row r="291" spans="1:1" ht="15.75" customHeight="1" x14ac:dyDescent="0.25">
      <c r="A291" s="7"/>
    </row>
    <row r="292" spans="1:1" ht="15.75" customHeight="1" x14ac:dyDescent="0.25">
      <c r="A292" s="7"/>
    </row>
    <row r="293" spans="1:1" ht="15.75" customHeight="1" x14ac:dyDescent="0.25">
      <c r="A293" s="7"/>
    </row>
    <row r="294" spans="1:1" ht="15.75" customHeight="1" x14ac:dyDescent="0.25">
      <c r="A294" s="7"/>
    </row>
    <row r="295" spans="1:1" ht="15.75" customHeight="1" x14ac:dyDescent="0.25">
      <c r="A295" s="7"/>
    </row>
    <row r="296" spans="1:1" ht="15.75" customHeight="1" x14ac:dyDescent="0.25">
      <c r="A296" s="7"/>
    </row>
    <row r="297" spans="1:1" ht="15.75" customHeight="1" x14ac:dyDescent="0.25">
      <c r="A297" s="7"/>
    </row>
    <row r="298" spans="1:1" ht="15.75" customHeight="1" x14ac:dyDescent="0.25">
      <c r="A298" s="7"/>
    </row>
    <row r="299" spans="1:1" ht="15.75" customHeight="1" x14ac:dyDescent="0.25">
      <c r="A299" s="7"/>
    </row>
    <row r="300" spans="1:1" ht="15.75" customHeight="1" x14ac:dyDescent="0.25">
      <c r="A300" s="7"/>
    </row>
    <row r="301" spans="1:1" ht="15.75" customHeight="1" x14ac:dyDescent="0.25">
      <c r="A301" s="7"/>
    </row>
    <row r="302" spans="1:1" ht="15.75" customHeight="1" x14ac:dyDescent="0.25">
      <c r="A302" s="7"/>
    </row>
    <row r="303" spans="1:1" ht="15.75" customHeight="1" x14ac:dyDescent="0.25">
      <c r="A303" s="7"/>
    </row>
    <row r="304" spans="1:1" ht="15.75" customHeight="1" x14ac:dyDescent="0.25">
      <c r="A304" s="7"/>
    </row>
    <row r="305" spans="1:1" ht="15.75" customHeight="1" x14ac:dyDescent="0.25">
      <c r="A305" s="7"/>
    </row>
    <row r="306" spans="1:1" ht="15.75" customHeight="1" x14ac:dyDescent="0.25">
      <c r="A306" s="7"/>
    </row>
    <row r="307" spans="1:1" ht="15.75" customHeight="1" x14ac:dyDescent="0.25">
      <c r="A307" s="7"/>
    </row>
    <row r="308" spans="1:1" ht="15.75" customHeight="1" x14ac:dyDescent="0.25">
      <c r="A308" s="7"/>
    </row>
    <row r="309" spans="1:1" ht="15.75" customHeight="1" x14ac:dyDescent="0.25">
      <c r="A309" s="7"/>
    </row>
    <row r="310" spans="1:1" ht="15.75" customHeight="1" x14ac:dyDescent="0.25">
      <c r="A310" s="7"/>
    </row>
    <row r="311" spans="1:1" ht="15.75" customHeight="1" x14ac:dyDescent="0.25">
      <c r="A311" s="7"/>
    </row>
    <row r="312" spans="1:1" ht="15.75" customHeight="1" x14ac:dyDescent="0.25">
      <c r="A312" s="7"/>
    </row>
    <row r="313" spans="1:1" ht="15.75" customHeight="1" x14ac:dyDescent="0.25">
      <c r="A313" s="7"/>
    </row>
    <row r="314" spans="1:1" ht="15.75" customHeight="1" x14ac:dyDescent="0.25">
      <c r="A314" s="7"/>
    </row>
    <row r="315" spans="1:1" ht="15.75" customHeight="1" x14ac:dyDescent="0.25">
      <c r="A315" s="7"/>
    </row>
    <row r="316" spans="1:1" ht="15.75" customHeight="1" x14ac:dyDescent="0.25">
      <c r="A316" s="7"/>
    </row>
    <row r="317" spans="1:1" ht="15.75" customHeight="1" x14ac:dyDescent="0.25">
      <c r="A317" s="7"/>
    </row>
    <row r="318" spans="1:1" ht="15.75" customHeight="1" x14ac:dyDescent="0.25">
      <c r="A318" s="7"/>
    </row>
    <row r="319" spans="1:1" ht="15.75" customHeight="1" x14ac:dyDescent="0.25">
      <c r="A319" s="7"/>
    </row>
    <row r="320" spans="1:1" ht="15.75" customHeight="1" x14ac:dyDescent="0.25">
      <c r="A320" s="7"/>
    </row>
    <row r="321" spans="1:1" ht="15.75" customHeight="1" x14ac:dyDescent="0.25">
      <c r="A321" s="7"/>
    </row>
    <row r="322" spans="1:1" ht="15.75" customHeight="1" x14ac:dyDescent="0.25">
      <c r="A322" s="7"/>
    </row>
    <row r="323" spans="1:1" ht="15.75" customHeight="1" x14ac:dyDescent="0.25">
      <c r="A323" s="7"/>
    </row>
    <row r="324" spans="1:1" ht="15.75" customHeight="1" x14ac:dyDescent="0.25">
      <c r="A324" s="7"/>
    </row>
    <row r="325" spans="1:1" ht="15.75" customHeight="1" x14ac:dyDescent="0.25">
      <c r="A325" s="7"/>
    </row>
    <row r="326" spans="1:1" ht="15.75" customHeight="1" x14ac:dyDescent="0.25">
      <c r="A326" s="7"/>
    </row>
    <row r="327" spans="1:1" ht="15.75" customHeight="1" x14ac:dyDescent="0.25">
      <c r="A327" s="7"/>
    </row>
    <row r="328" spans="1:1" ht="15.75" customHeight="1" x14ac:dyDescent="0.25">
      <c r="A328" s="7"/>
    </row>
    <row r="329" spans="1:1" ht="15.75" customHeight="1" x14ac:dyDescent="0.25">
      <c r="A329" s="7"/>
    </row>
    <row r="330" spans="1:1" ht="15.75" customHeight="1" x14ac:dyDescent="0.25">
      <c r="A330" s="7"/>
    </row>
    <row r="331" spans="1:1" ht="15.75" customHeight="1" x14ac:dyDescent="0.25">
      <c r="A331" s="7"/>
    </row>
    <row r="332" spans="1:1" ht="15.75" customHeight="1" x14ac:dyDescent="0.25">
      <c r="A332" s="7"/>
    </row>
    <row r="333" spans="1:1" ht="15.75" customHeight="1" x14ac:dyDescent="0.25">
      <c r="A333" s="7"/>
    </row>
    <row r="334" spans="1:1" ht="15.75" customHeight="1" x14ac:dyDescent="0.25">
      <c r="A334" s="7"/>
    </row>
    <row r="335" spans="1:1" ht="15.75" customHeight="1" x14ac:dyDescent="0.25">
      <c r="A335" s="7"/>
    </row>
    <row r="336" spans="1:1" ht="15.75" customHeight="1" x14ac:dyDescent="0.25">
      <c r="A336" s="7"/>
    </row>
    <row r="337" spans="1:1" ht="15.75" customHeight="1" x14ac:dyDescent="0.25">
      <c r="A337" s="7"/>
    </row>
    <row r="338" spans="1:1" ht="15.75" customHeight="1" x14ac:dyDescent="0.25">
      <c r="A338" s="7"/>
    </row>
    <row r="339" spans="1:1" ht="15.75" customHeight="1" x14ac:dyDescent="0.25">
      <c r="A339" s="7"/>
    </row>
    <row r="340" spans="1:1" ht="15.75" customHeight="1" x14ac:dyDescent="0.25">
      <c r="A340" s="7"/>
    </row>
    <row r="341" spans="1:1" ht="15.75" customHeight="1" x14ac:dyDescent="0.25">
      <c r="A341" s="7"/>
    </row>
    <row r="342" spans="1:1" ht="15.75" customHeight="1" x14ac:dyDescent="0.25">
      <c r="A342" s="7"/>
    </row>
    <row r="343" spans="1:1" ht="15.75" customHeight="1" x14ac:dyDescent="0.25">
      <c r="A343" s="7"/>
    </row>
    <row r="344" spans="1:1" ht="15.75" customHeight="1" x14ac:dyDescent="0.25">
      <c r="A344" s="7"/>
    </row>
    <row r="345" spans="1:1" ht="15.75" customHeight="1" x14ac:dyDescent="0.25">
      <c r="A345" s="7"/>
    </row>
    <row r="346" spans="1:1" ht="15.75" customHeight="1" x14ac:dyDescent="0.25">
      <c r="A346" s="7"/>
    </row>
    <row r="347" spans="1:1" ht="15.75" customHeight="1" x14ac:dyDescent="0.25">
      <c r="A347" s="7"/>
    </row>
    <row r="348" spans="1:1" ht="15.75" customHeight="1" x14ac:dyDescent="0.25">
      <c r="A348" s="7"/>
    </row>
    <row r="349" spans="1:1" ht="15.75" customHeight="1" x14ac:dyDescent="0.25">
      <c r="A349" s="7"/>
    </row>
    <row r="350" spans="1:1" ht="15.75" customHeight="1" x14ac:dyDescent="0.25">
      <c r="A350" s="7"/>
    </row>
    <row r="351" spans="1:1" ht="15.75" customHeight="1" x14ac:dyDescent="0.25">
      <c r="A351" s="7"/>
    </row>
    <row r="352" spans="1:1" ht="15.75" customHeight="1" x14ac:dyDescent="0.25">
      <c r="A352" s="7"/>
    </row>
    <row r="353" spans="1:1" ht="15.75" customHeight="1" x14ac:dyDescent="0.25">
      <c r="A353" s="7"/>
    </row>
    <row r="354" spans="1:1" ht="15.75" customHeight="1" x14ac:dyDescent="0.25">
      <c r="A354" s="7"/>
    </row>
    <row r="355" spans="1:1" ht="15.75" customHeight="1" x14ac:dyDescent="0.25">
      <c r="A355" s="7"/>
    </row>
    <row r="356" spans="1:1" ht="15.75" customHeight="1" x14ac:dyDescent="0.25">
      <c r="A356" s="7"/>
    </row>
    <row r="357" spans="1:1" ht="15.75" customHeight="1" x14ac:dyDescent="0.25">
      <c r="A357" s="7"/>
    </row>
    <row r="358" spans="1:1" ht="15.75" customHeight="1" x14ac:dyDescent="0.25">
      <c r="A358" s="7"/>
    </row>
    <row r="359" spans="1:1" ht="15.75" customHeight="1" x14ac:dyDescent="0.25">
      <c r="A359" s="7"/>
    </row>
    <row r="360" spans="1:1" ht="15.75" customHeight="1" x14ac:dyDescent="0.25">
      <c r="A360" s="7"/>
    </row>
    <row r="361" spans="1:1" ht="15.75" customHeight="1" x14ac:dyDescent="0.25">
      <c r="A361" s="7"/>
    </row>
    <row r="362" spans="1:1" ht="15.75" customHeight="1" x14ac:dyDescent="0.25">
      <c r="A362" s="7"/>
    </row>
    <row r="363" spans="1:1" ht="15.75" customHeight="1" x14ac:dyDescent="0.25">
      <c r="A363" s="7"/>
    </row>
    <row r="364" spans="1:1" ht="15.75" customHeight="1" x14ac:dyDescent="0.25">
      <c r="A364" s="7"/>
    </row>
    <row r="365" spans="1:1" ht="15.75" customHeight="1" x14ac:dyDescent="0.25">
      <c r="A365" s="7"/>
    </row>
    <row r="366" spans="1:1" ht="15.75" customHeight="1" x14ac:dyDescent="0.25">
      <c r="A366" s="7"/>
    </row>
    <row r="367" spans="1:1" ht="15.75" customHeight="1" x14ac:dyDescent="0.25">
      <c r="A367" s="7"/>
    </row>
    <row r="368" spans="1:1" ht="15.75" customHeight="1" x14ac:dyDescent="0.25">
      <c r="A368" s="7"/>
    </row>
    <row r="369" spans="1:1" ht="15.75" customHeight="1" x14ac:dyDescent="0.25">
      <c r="A369" s="7"/>
    </row>
    <row r="370" spans="1:1" ht="15.75" customHeight="1" x14ac:dyDescent="0.25">
      <c r="A370" s="7"/>
    </row>
    <row r="371" spans="1:1" ht="15.75" customHeight="1" x14ac:dyDescent="0.25">
      <c r="A371" s="7"/>
    </row>
    <row r="372" spans="1:1" ht="15.75" customHeight="1" x14ac:dyDescent="0.25">
      <c r="A372" s="7"/>
    </row>
    <row r="373" spans="1:1" ht="15.75" customHeight="1" x14ac:dyDescent="0.25">
      <c r="A373" s="7"/>
    </row>
    <row r="374" spans="1:1" ht="15.75" customHeight="1" x14ac:dyDescent="0.25">
      <c r="A374" s="7"/>
    </row>
    <row r="375" spans="1:1" ht="15.75" customHeight="1" x14ac:dyDescent="0.25">
      <c r="A375" s="7"/>
    </row>
    <row r="376" spans="1:1" ht="15.75" customHeight="1" x14ac:dyDescent="0.25">
      <c r="A376" s="7"/>
    </row>
    <row r="377" spans="1:1" ht="15.75" customHeight="1" x14ac:dyDescent="0.25">
      <c r="A377" s="7"/>
    </row>
    <row r="378" spans="1:1" ht="15.75" customHeight="1" x14ac:dyDescent="0.25">
      <c r="A378" s="7"/>
    </row>
    <row r="379" spans="1:1" ht="15.75" customHeight="1" x14ac:dyDescent="0.25">
      <c r="A379" s="7"/>
    </row>
    <row r="380" spans="1:1" ht="15.75" customHeight="1" x14ac:dyDescent="0.25">
      <c r="A380" s="7"/>
    </row>
    <row r="381" spans="1:1" ht="15.75" customHeight="1" x14ac:dyDescent="0.25">
      <c r="A381" s="7"/>
    </row>
    <row r="382" spans="1:1" ht="15.75" customHeight="1" x14ac:dyDescent="0.25">
      <c r="A382" s="7"/>
    </row>
    <row r="383" spans="1:1" ht="15.75" customHeight="1" x14ac:dyDescent="0.25">
      <c r="A383" s="7"/>
    </row>
    <row r="384" spans="1:1" ht="15.75" customHeight="1" x14ac:dyDescent="0.25">
      <c r="A384" s="7"/>
    </row>
    <row r="385" spans="1:1" ht="15.75" customHeight="1" x14ac:dyDescent="0.25">
      <c r="A385" s="7"/>
    </row>
    <row r="386" spans="1:1" ht="15.75" customHeight="1" x14ac:dyDescent="0.25">
      <c r="A386" s="7"/>
    </row>
    <row r="387" spans="1:1" ht="15.75" customHeight="1" x14ac:dyDescent="0.25">
      <c r="A387" s="7"/>
    </row>
    <row r="388" spans="1:1" ht="15.75" customHeight="1" x14ac:dyDescent="0.25">
      <c r="A388" s="7"/>
    </row>
    <row r="389" spans="1:1" ht="15.75" customHeight="1" x14ac:dyDescent="0.25">
      <c r="A389" s="7"/>
    </row>
    <row r="390" spans="1:1" ht="15.75" customHeight="1" x14ac:dyDescent="0.25">
      <c r="A390" s="7"/>
    </row>
    <row r="391" spans="1:1" ht="15.75" customHeight="1" x14ac:dyDescent="0.25">
      <c r="A391" s="7"/>
    </row>
    <row r="392" spans="1:1" ht="15.75" customHeight="1" x14ac:dyDescent="0.25">
      <c r="A392" s="7"/>
    </row>
    <row r="393" spans="1:1" ht="15.75" customHeight="1" x14ac:dyDescent="0.25">
      <c r="A393" s="7"/>
    </row>
    <row r="394" spans="1:1" ht="15.75" customHeight="1" x14ac:dyDescent="0.25">
      <c r="A394" s="7"/>
    </row>
    <row r="395" spans="1:1" ht="15.75" customHeight="1" x14ac:dyDescent="0.25">
      <c r="A395" s="7"/>
    </row>
    <row r="396" spans="1:1" ht="15.75" customHeight="1" x14ac:dyDescent="0.25">
      <c r="A396" s="7"/>
    </row>
    <row r="397" spans="1:1" ht="15.75" customHeight="1" x14ac:dyDescent="0.25">
      <c r="A397" s="7"/>
    </row>
    <row r="398" spans="1:1" ht="15.75" customHeight="1" x14ac:dyDescent="0.25">
      <c r="A398" s="7"/>
    </row>
    <row r="399" spans="1:1" ht="15.75" customHeight="1" x14ac:dyDescent="0.25">
      <c r="A399" s="7"/>
    </row>
    <row r="400" spans="1:1" ht="15.75" customHeight="1" x14ac:dyDescent="0.25">
      <c r="A400" s="7"/>
    </row>
    <row r="401" spans="1:1" ht="15.75" customHeight="1" x14ac:dyDescent="0.25">
      <c r="A401" s="7"/>
    </row>
    <row r="402" spans="1:1" ht="15.75" customHeight="1" x14ac:dyDescent="0.25">
      <c r="A402" s="7"/>
    </row>
    <row r="403" spans="1:1" ht="15.75" customHeight="1" x14ac:dyDescent="0.25">
      <c r="A403" s="7"/>
    </row>
    <row r="404" spans="1:1" ht="15.75" customHeight="1" x14ac:dyDescent="0.25">
      <c r="A404" s="7"/>
    </row>
    <row r="405" spans="1:1" ht="15.75" customHeight="1" x14ac:dyDescent="0.25">
      <c r="A405" s="7"/>
    </row>
    <row r="406" spans="1:1" ht="15.75" customHeight="1" x14ac:dyDescent="0.25">
      <c r="A406" s="7"/>
    </row>
    <row r="407" spans="1:1" ht="15.75" customHeight="1" x14ac:dyDescent="0.25">
      <c r="A407" s="7"/>
    </row>
    <row r="408" spans="1:1" ht="15.75" customHeight="1" x14ac:dyDescent="0.25">
      <c r="A408" s="7"/>
    </row>
    <row r="409" spans="1:1" ht="15.75" customHeight="1" x14ac:dyDescent="0.25">
      <c r="A409" s="7"/>
    </row>
    <row r="410" spans="1:1" ht="15.75" customHeight="1" x14ac:dyDescent="0.25">
      <c r="A410" s="7"/>
    </row>
    <row r="411" spans="1:1" ht="15.75" customHeight="1" x14ac:dyDescent="0.25">
      <c r="A411" s="7"/>
    </row>
    <row r="412" spans="1:1" ht="15.75" customHeight="1" x14ac:dyDescent="0.25">
      <c r="A412" s="7"/>
    </row>
    <row r="413" spans="1:1" ht="15.75" customHeight="1" x14ac:dyDescent="0.25">
      <c r="A413" s="7"/>
    </row>
    <row r="414" spans="1:1" ht="15.75" customHeight="1" x14ac:dyDescent="0.25">
      <c r="A414" s="7"/>
    </row>
    <row r="415" spans="1:1" ht="15.75" customHeight="1" x14ac:dyDescent="0.25">
      <c r="A415" s="7"/>
    </row>
    <row r="416" spans="1:1" ht="15.75" customHeight="1" x14ac:dyDescent="0.25">
      <c r="A416" s="7"/>
    </row>
    <row r="417" spans="1:1" ht="15.75" customHeight="1" x14ac:dyDescent="0.25">
      <c r="A417" s="7"/>
    </row>
    <row r="418" spans="1:1" ht="15.75" customHeight="1" x14ac:dyDescent="0.25">
      <c r="A418" s="7"/>
    </row>
    <row r="419" spans="1:1" ht="15.75" customHeight="1" x14ac:dyDescent="0.25">
      <c r="A419" s="7"/>
    </row>
    <row r="420" spans="1:1" ht="15.75" customHeight="1" x14ac:dyDescent="0.25">
      <c r="A420" s="7"/>
    </row>
    <row r="421" spans="1:1" ht="15.75" customHeight="1" x14ac:dyDescent="0.25">
      <c r="A421" s="7"/>
    </row>
    <row r="422" spans="1:1" ht="15.75" customHeight="1" x14ac:dyDescent="0.25">
      <c r="A422" s="7"/>
    </row>
    <row r="423" spans="1:1" ht="15.75" customHeight="1" x14ac:dyDescent="0.25">
      <c r="A423" s="7"/>
    </row>
    <row r="424" spans="1:1" ht="15.75" customHeight="1" x14ac:dyDescent="0.25">
      <c r="A424" s="7"/>
    </row>
    <row r="425" spans="1:1" ht="15.75" customHeight="1" x14ac:dyDescent="0.25">
      <c r="A425" s="7"/>
    </row>
    <row r="426" spans="1:1" ht="15.75" customHeight="1" x14ac:dyDescent="0.25">
      <c r="A426" s="7"/>
    </row>
    <row r="427" spans="1:1" ht="15.75" customHeight="1" x14ac:dyDescent="0.25">
      <c r="A427" s="7"/>
    </row>
    <row r="428" spans="1:1" ht="15.75" customHeight="1" x14ac:dyDescent="0.25">
      <c r="A428" s="7"/>
    </row>
    <row r="429" spans="1:1" ht="15.75" customHeight="1" x14ac:dyDescent="0.25">
      <c r="A429" s="7"/>
    </row>
    <row r="430" spans="1:1" ht="15.75" customHeight="1" x14ac:dyDescent="0.25">
      <c r="A430" s="7"/>
    </row>
    <row r="431" spans="1:1" ht="15.75" customHeight="1" x14ac:dyDescent="0.25">
      <c r="A431" s="7"/>
    </row>
    <row r="432" spans="1:1" ht="15.75" customHeight="1" x14ac:dyDescent="0.25">
      <c r="A432" s="7"/>
    </row>
    <row r="433" spans="1:1" ht="15.75" customHeight="1" x14ac:dyDescent="0.25">
      <c r="A433" s="7"/>
    </row>
    <row r="434" spans="1:1" ht="15.75" customHeight="1" x14ac:dyDescent="0.25">
      <c r="A434" s="7"/>
    </row>
    <row r="435" spans="1:1" ht="15.75" customHeight="1" x14ac:dyDescent="0.25">
      <c r="A435" s="7"/>
    </row>
    <row r="436" spans="1:1" ht="15.75" customHeight="1" x14ac:dyDescent="0.25">
      <c r="A436" s="7"/>
    </row>
    <row r="437" spans="1:1" ht="15.75" customHeight="1" x14ac:dyDescent="0.25">
      <c r="A437" s="7"/>
    </row>
    <row r="438" spans="1:1" ht="15.75" customHeight="1" x14ac:dyDescent="0.25">
      <c r="A438" s="7"/>
    </row>
    <row r="439" spans="1:1" ht="15.75" customHeight="1" x14ac:dyDescent="0.25">
      <c r="A439" s="7"/>
    </row>
    <row r="440" spans="1:1" ht="15.75" customHeight="1" x14ac:dyDescent="0.25">
      <c r="A440" s="7"/>
    </row>
    <row r="441" spans="1:1" ht="15.75" customHeight="1" x14ac:dyDescent="0.25">
      <c r="A441" s="7"/>
    </row>
    <row r="442" spans="1:1" ht="15.75" customHeight="1" x14ac:dyDescent="0.25">
      <c r="A442" s="7"/>
    </row>
    <row r="443" spans="1:1" ht="15.75" customHeight="1" x14ac:dyDescent="0.25">
      <c r="A443" s="7"/>
    </row>
    <row r="444" spans="1:1" ht="15.75" customHeight="1" x14ac:dyDescent="0.25">
      <c r="A444" s="7"/>
    </row>
    <row r="445" spans="1:1" ht="15.75" customHeight="1" x14ac:dyDescent="0.25">
      <c r="A445" s="7"/>
    </row>
    <row r="446" spans="1:1" ht="15.75" customHeight="1" x14ac:dyDescent="0.25">
      <c r="A446" s="7"/>
    </row>
    <row r="447" spans="1:1" ht="15.75" customHeight="1" x14ac:dyDescent="0.25">
      <c r="A447" s="7"/>
    </row>
    <row r="448" spans="1:1" ht="15.75" customHeight="1" x14ac:dyDescent="0.25">
      <c r="A448" s="7"/>
    </row>
    <row r="449" spans="1:1" ht="15.75" customHeight="1" x14ac:dyDescent="0.25">
      <c r="A449" s="7"/>
    </row>
    <row r="450" spans="1:1" ht="15.75" customHeight="1" x14ac:dyDescent="0.25">
      <c r="A450" s="7"/>
    </row>
    <row r="451" spans="1:1" ht="15.75" customHeight="1" x14ac:dyDescent="0.25">
      <c r="A451" s="7"/>
    </row>
    <row r="452" spans="1:1" ht="15.75" customHeight="1" x14ac:dyDescent="0.25">
      <c r="A452" s="7"/>
    </row>
    <row r="453" spans="1:1" ht="15.75" customHeight="1" x14ac:dyDescent="0.25">
      <c r="A453" s="7"/>
    </row>
    <row r="454" spans="1:1" ht="15.75" customHeight="1" x14ac:dyDescent="0.25">
      <c r="A454" s="7"/>
    </row>
    <row r="455" spans="1:1" ht="15.75" customHeight="1" x14ac:dyDescent="0.25">
      <c r="A455" s="7"/>
    </row>
    <row r="456" spans="1:1" ht="15.75" customHeight="1" x14ac:dyDescent="0.25">
      <c r="A456" s="7"/>
    </row>
    <row r="457" spans="1:1" ht="15.75" customHeight="1" x14ac:dyDescent="0.25">
      <c r="A457" s="7"/>
    </row>
    <row r="458" spans="1:1" ht="15.75" customHeight="1" x14ac:dyDescent="0.25">
      <c r="A458" s="7"/>
    </row>
    <row r="459" spans="1:1" ht="15.75" customHeight="1" x14ac:dyDescent="0.25">
      <c r="A459" s="7"/>
    </row>
    <row r="460" spans="1:1" ht="15.75" customHeight="1" x14ac:dyDescent="0.25">
      <c r="A460" s="7"/>
    </row>
    <row r="461" spans="1:1" ht="15.75" customHeight="1" x14ac:dyDescent="0.25">
      <c r="A461" s="7"/>
    </row>
    <row r="462" spans="1:1" ht="15.75" customHeight="1" x14ac:dyDescent="0.25">
      <c r="A462" s="7"/>
    </row>
    <row r="463" spans="1:1" ht="15.75" customHeight="1" x14ac:dyDescent="0.25">
      <c r="A463" s="7"/>
    </row>
    <row r="464" spans="1:1" ht="15.75" customHeight="1" x14ac:dyDescent="0.25">
      <c r="A464" s="7"/>
    </row>
    <row r="465" spans="1:1" ht="15.75" customHeight="1" x14ac:dyDescent="0.25">
      <c r="A465" s="7"/>
    </row>
    <row r="466" spans="1:1" ht="15.75" customHeight="1" x14ac:dyDescent="0.25">
      <c r="A466" s="7"/>
    </row>
    <row r="467" spans="1:1" ht="15.75" customHeight="1" x14ac:dyDescent="0.25">
      <c r="A467" s="7"/>
    </row>
    <row r="468" spans="1:1" ht="15.75" customHeight="1" x14ac:dyDescent="0.25">
      <c r="A468" s="7"/>
    </row>
    <row r="469" spans="1:1" ht="15.75" customHeight="1" x14ac:dyDescent="0.25">
      <c r="A469" s="7"/>
    </row>
    <row r="470" spans="1:1" ht="15.75" customHeight="1" x14ac:dyDescent="0.25">
      <c r="A470" s="7"/>
    </row>
    <row r="471" spans="1:1" ht="15.75" customHeight="1" x14ac:dyDescent="0.25">
      <c r="A471" s="7"/>
    </row>
    <row r="472" spans="1:1" ht="15.75" customHeight="1" x14ac:dyDescent="0.25">
      <c r="A472" s="7"/>
    </row>
    <row r="473" spans="1:1" ht="15.75" customHeight="1" x14ac:dyDescent="0.25">
      <c r="A473" s="7"/>
    </row>
    <row r="474" spans="1:1" ht="15.75" customHeight="1" x14ac:dyDescent="0.25">
      <c r="A474" s="7"/>
    </row>
    <row r="475" spans="1:1" ht="15.75" customHeight="1" x14ac:dyDescent="0.25">
      <c r="A475" s="7"/>
    </row>
    <row r="476" spans="1:1" ht="15.75" customHeight="1" x14ac:dyDescent="0.25">
      <c r="A476" s="7"/>
    </row>
    <row r="477" spans="1:1" ht="15.75" customHeight="1" x14ac:dyDescent="0.25">
      <c r="A477" s="7"/>
    </row>
    <row r="478" spans="1:1" ht="15.75" customHeight="1" x14ac:dyDescent="0.25">
      <c r="A478" s="7"/>
    </row>
    <row r="479" spans="1:1" ht="15.75" customHeight="1" x14ac:dyDescent="0.25">
      <c r="A479" s="7"/>
    </row>
    <row r="480" spans="1:1" ht="15.75" customHeight="1" x14ac:dyDescent="0.25">
      <c r="A480" s="7"/>
    </row>
    <row r="481" spans="1:1" ht="15.75" customHeight="1" x14ac:dyDescent="0.25">
      <c r="A481" s="7"/>
    </row>
    <row r="482" spans="1:1" ht="15.75" customHeight="1" x14ac:dyDescent="0.25">
      <c r="A482" s="7"/>
    </row>
    <row r="483" spans="1:1" ht="15.75" customHeight="1" x14ac:dyDescent="0.25">
      <c r="A483" s="7"/>
    </row>
    <row r="484" spans="1:1" ht="15.75" customHeight="1" x14ac:dyDescent="0.25">
      <c r="A484" s="7"/>
    </row>
    <row r="485" spans="1:1" ht="15.75" customHeight="1" x14ac:dyDescent="0.25">
      <c r="A485" s="7"/>
    </row>
    <row r="486" spans="1:1" ht="15.75" customHeight="1" x14ac:dyDescent="0.25">
      <c r="A486" s="7"/>
    </row>
    <row r="487" spans="1:1" ht="15.75" customHeight="1" x14ac:dyDescent="0.25">
      <c r="A487" s="7"/>
    </row>
    <row r="488" spans="1:1" ht="15.75" customHeight="1" x14ac:dyDescent="0.25">
      <c r="A488" s="7"/>
    </row>
    <row r="489" spans="1:1" ht="15.75" customHeight="1" x14ac:dyDescent="0.25">
      <c r="A489" s="7"/>
    </row>
    <row r="490" spans="1:1" ht="15.75" customHeight="1" x14ac:dyDescent="0.25">
      <c r="A490" s="7"/>
    </row>
    <row r="491" spans="1:1" ht="15.75" customHeight="1" x14ac:dyDescent="0.25">
      <c r="A491" s="7"/>
    </row>
    <row r="492" spans="1:1" ht="15.75" customHeight="1" x14ac:dyDescent="0.25">
      <c r="A492" s="7"/>
    </row>
    <row r="493" spans="1:1" ht="15.75" customHeight="1" x14ac:dyDescent="0.25">
      <c r="A493" s="7"/>
    </row>
    <row r="494" spans="1:1" ht="15.75" customHeight="1" x14ac:dyDescent="0.25">
      <c r="A494" s="7"/>
    </row>
    <row r="495" spans="1:1" ht="15.75" customHeight="1" x14ac:dyDescent="0.25">
      <c r="A495" s="7"/>
    </row>
    <row r="496" spans="1:1" ht="15.75" customHeight="1" x14ac:dyDescent="0.25">
      <c r="A496" s="7"/>
    </row>
    <row r="497" spans="1:1" ht="15.75" customHeight="1" x14ac:dyDescent="0.25">
      <c r="A497" s="7"/>
    </row>
    <row r="498" spans="1:1" ht="15.75" customHeight="1" x14ac:dyDescent="0.25">
      <c r="A498" s="7"/>
    </row>
    <row r="499" spans="1:1" ht="15.75" customHeight="1" x14ac:dyDescent="0.25">
      <c r="A499" s="7"/>
    </row>
    <row r="500" spans="1:1" ht="15.75" customHeight="1" x14ac:dyDescent="0.25">
      <c r="A500" s="7"/>
    </row>
    <row r="501" spans="1:1" ht="15.75" customHeight="1" x14ac:dyDescent="0.25">
      <c r="A501" s="7"/>
    </row>
    <row r="502" spans="1:1" ht="15.75" customHeight="1" x14ac:dyDescent="0.25">
      <c r="A502" s="7"/>
    </row>
    <row r="503" spans="1:1" ht="15.75" customHeight="1" x14ac:dyDescent="0.25">
      <c r="A503" s="7"/>
    </row>
    <row r="504" spans="1:1" ht="15.75" customHeight="1" x14ac:dyDescent="0.25">
      <c r="A504" s="7"/>
    </row>
    <row r="505" spans="1:1" ht="15.75" customHeight="1" x14ac:dyDescent="0.25">
      <c r="A505" s="7"/>
    </row>
    <row r="506" spans="1:1" ht="15.75" customHeight="1" x14ac:dyDescent="0.25">
      <c r="A506" s="7"/>
    </row>
    <row r="507" spans="1:1" ht="15.75" customHeight="1" x14ac:dyDescent="0.25">
      <c r="A507" s="7"/>
    </row>
    <row r="508" spans="1:1" ht="15.75" customHeight="1" x14ac:dyDescent="0.25">
      <c r="A508" s="7"/>
    </row>
    <row r="509" spans="1:1" ht="15.75" customHeight="1" x14ac:dyDescent="0.25">
      <c r="A509" s="7"/>
    </row>
    <row r="510" spans="1:1" ht="15.75" customHeight="1" x14ac:dyDescent="0.25">
      <c r="A510" s="7"/>
    </row>
    <row r="511" spans="1:1" ht="15.75" customHeight="1" x14ac:dyDescent="0.25">
      <c r="A511" s="7"/>
    </row>
    <row r="512" spans="1:1" ht="15.75" customHeight="1" x14ac:dyDescent="0.25">
      <c r="A512" s="7"/>
    </row>
    <row r="513" spans="1:1" ht="15.75" customHeight="1" x14ac:dyDescent="0.25">
      <c r="A513" s="7"/>
    </row>
    <row r="514" spans="1:1" ht="15.75" customHeight="1" x14ac:dyDescent="0.25">
      <c r="A514" s="7"/>
    </row>
    <row r="515" spans="1:1" ht="15.75" customHeight="1" x14ac:dyDescent="0.25">
      <c r="A515" s="7"/>
    </row>
    <row r="516" spans="1:1" ht="15.75" customHeight="1" x14ac:dyDescent="0.25">
      <c r="A516" s="7"/>
    </row>
    <row r="517" spans="1:1" ht="15.75" customHeight="1" x14ac:dyDescent="0.25">
      <c r="A517" s="7"/>
    </row>
    <row r="518" spans="1:1" ht="15.75" customHeight="1" x14ac:dyDescent="0.25">
      <c r="A518" s="7"/>
    </row>
    <row r="519" spans="1:1" ht="15.75" customHeight="1" x14ac:dyDescent="0.25">
      <c r="A519" s="7"/>
    </row>
    <row r="520" spans="1:1" ht="15.75" customHeight="1" x14ac:dyDescent="0.25">
      <c r="A520" s="7"/>
    </row>
    <row r="521" spans="1:1" ht="15.75" customHeight="1" x14ac:dyDescent="0.25">
      <c r="A521" s="7"/>
    </row>
    <row r="522" spans="1:1" ht="15.75" customHeight="1" x14ac:dyDescent="0.25">
      <c r="A522" s="7"/>
    </row>
    <row r="523" spans="1:1" ht="15.75" customHeight="1" x14ac:dyDescent="0.25">
      <c r="A523" s="7"/>
    </row>
    <row r="524" spans="1:1" ht="15.75" customHeight="1" x14ac:dyDescent="0.25">
      <c r="A524" s="7"/>
    </row>
    <row r="525" spans="1:1" ht="15.75" customHeight="1" x14ac:dyDescent="0.25">
      <c r="A525" s="7"/>
    </row>
    <row r="526" spans="1:1" ht="15.75" customHeight="1" x14ac:dyDescent="0.25">
      <c r="A526" s="7"/>
    </row>
    <row r="527" spans="1:1" ht="15.75" customHeight="1" x14ac:dyDescent="0.25">
      <c r="A527" s="7"/>
    </row>
    <row r="528" spans="1:1" ht="15.75" customHeight="1" x14ac:dyDescent="0.25">
      <c r="A528" s="7"/>
    </row>
    <row r="529" spans="1:1" ht="15.75" customHeight="1" x14ac:dyDescent="0.25">
      <c r="A529" s="7"/>
    </row>
    <row r="530" spans="1:1" ht="15.75" customHeight="1" x14ac:dyDescent="0.25">
      <c r="A530" s="7"/>
    </row>
    <row r="531" spans="1:1" ht="15.75" customHeight="1" x14ac:dyDescent="0.25">
      <c r="A531" s="7"/>
    </row>
    <row r="532" spans="1:1" ht="15.75" customHeight="1" x14ac:dyDescent="0.25">
      <c r="A532" s="7"/>
    </row>
    <row r="533" spans="1:1" ht="15.75" customHeight="1" x14ac:dyDescent="0.25">
      <c r="A533" s="7"/>
    </row>
    <row r="534" spans="1:1" ht="15.75" customHeight="1" x14ac:dyDescent="0.25">
      <c r="A534" s="7"/>
    </row>
    <row r="535" spans="1:1" ht="15.75" customHeight="1" x14ac:dyDescent="0.25">
      <c r="A535" s="7"/>
    </row>
    <row r="536" spans="1:1" ht="15.75" customHeight="1" x14ac:dyDescent="0.25">
      <c r="A536" s="7"/>
    </row>
    <row r="537" spans="1:1" ht="15.75" customHeight="1" x14ac:dyDescent="0.25">
      <c r="A537" s="7"/>
    </row>
    <row r="538" spans="1:1" ht="15.75" customHeight="1" x14ac:dyDescent="0.25">
      <c r="A538" s="7"/>
    </row>
    <row r="539" spans="1:1" ht="15.75" customHeight="1" x14ac:dyDescent="0.25">
      <c r="A539" s="7"/>
    </row>
    <row r="540" spans="1:1" ht="15.75" customHeight="1" x14ac:dyDescent="0.25">
      <c r="A540" s="7"/>
    </row>
    <row r="541" spans="1:1" ht="15.75" customHeight="1" x14ac:dyDescent="0.25">
      <c r="A541" s="7"/>
    </row>
    <row r="542" spans="1:1" ht="15.75" customHeight="1" x14ac:dyDescent="0.25">
      <c r="A542" s="7"/>
    </row>
    <row r="543" spans="1:1" ht="15.75" customHeight="1" x14ac:dyDescent="0.25">
      <c r="A543" s="7"/>
    </row>
    <row r="544" spans="1:1" ht="15.75" customHeight="1" x14ac:dyDescent="0.25">
      <c r="A544" s="7"/>
    </row>
    <row r="545" spans="1:1" ht="15.75" customHeight="1" x14ac:dyDescent="0.25">
      <c r="A545" s="7"/>
    </row>
    <row r="546" spans="1:1" ht="15.75" customHeight="1" x14ac:dyDescent="0.25">
      <c r="A546" s="7"/>
    </row>
    <row r="547" spans="1:1" ht="15.75" customHeight="1" x14ac:dyDescent="0.25">
      <c r="A547" s="7"/>
    </row>
    <row r="548" spans="1:1" ht="15.75" customHeight="1" x14ac:dyDescent="0.25">
      <c r="A548" s="7"/>
    </row>
    <row r="549" spans="1:1" ht="15.75" customHeight="1" x14ac:dyDescent="0.25">
      <c r="A549" s="7"/>
    </row>
    <row r="550" spans="1:1" ht="15.75" customHeight="1" x14ac:dyDescent="0.25">
      <c r="A550" s="7"/>
    </row>
    <row r="551" spans="1:1" ht="15.75" customHeight="1" x14ac:dyDescent="0.25">
      <c r="A551" s="7"/>
    </row>
    <row r="552" spans="1:1" ht="15.75" customHeight="1" x14ac:dyDescent="0.25">
      <c r="A552" s="7"/>
    </row>
    <row r="553" spans="1:1" ht="15.75" customHeight="1" x14ac:dyDescent="0.25">
      <c r="A553" s="7"/>
    </row>
    <row r="554" spans="1:1" ht="15.75" customHeight="1" x14ac:dyDescent="0.25">
      <c r="A554" s="7"/>
    </row>
    <row r="555" spans="1:1" ht="15.75" customHeight="1" x14ac:dyDescent="0.25">
      <c r="A555" s="7"/>
    </row>
    <row r="556" spans="1:1" ht="15.75" customHeight="1" x14ac:dyDescent="0.25">
      <c r="A556" s="7"/>
    </row>
    <row r="557" spans="1:1" ht="15.75" customHeight="1" x14ac:dyDescent="0.25">
      <c r="A557" s="7"/>
    </row>
    <row r="558" spans="1:1" ht="15.75" customHeight="1" x14ac:dyDescent="0.25">
      <c r="A558" s="7"/>
    </row>
    <row r="559" spans="1:1" ht="15.75" customHeight="1" x14ac:dyDescent="0.25">
      <c r="A559" s="7"/>
    </row>
    <row r="560" spans="1:1" ht="15.75" customHeight="1" x14ac:dyDescent="0.25">
      <c r="A560" s="7"/>
    </row>
    <row r="561" spans="1:1" ht="15.75" customHeight="1" x14ac:dyDescent="0.25">
      <c r="A561" s="7"/>
    </row>
    <row r="562" spans="1:1" ht="15.75" customHeight="1" x14ac:dyDescent="0.25">
      <c r="A562" s="7"/>
    </row>
    <row r="563" spans="1:1" ht="15.75" customHeight="1" x14ac:dyDescent="0.25">
      <c r="A563" s="7"/>
    </row>
    <row r="564" spans="1:1" ht="15.75" customHeight="1" x14ac:dyDescent="0.25">
      <c r="A564" s="7"/>
    </row>
    <row r="565" spans="1:1" ht="15.75" customHeight="1" x14ac:dyDescent="0.25">
      <c r="A565" s="7"/>
    </row>
    <row r="566" spans="1:1" ht="15.75" customHeight="1" x14ac:dyDescent="0.25">
      <c r="A566" s="7"/>
    </row>
    <row r="567" spans="1:1" ht="15.75" customHeight="1" x14ac:dyDescent="0.25">
      <c r="A567" s="7"/>
    </row>
    <row r="568" spans="1:1" ht="15.75" customHeight="1" x14ac:dyDescent="0.25">
      <c r="A568" s="7"/>
    </row>
    <row r="569" spans="1:1" ht="15.75" customHeight="1" x14ac:dyDescent="0.25">
      <c r="A569" s="7"/>
    </row>
    <row r="570" spans="1:1" ht="15.75" customHeight="1" x14ac:dyDescent="0.25">
      <c r="A570" s="7"/>
    </row>
    <row r="571" spans="1:1" ht="15.75" customHeight="1" x14ac:dyDescent="0.25">
      <c r="A571" s="7"/>
    </row>
    <row r="572" spans="1:1" ht="15.75" customHeight="1" x14ac:dyDescent="0.25">
      <c r="A572" s="7"/>
    </row>
    <row r="573" spans="1:1" ht="15.75" customHeight="1" x14ac:dyDescent="0.25">
      <c r="A573" s="7"/>
    </row>
    <row r="574" spans="1:1" ht="15.75" customHeight="1" x14ac:dyDescent="0.25">
      <c r="A574" s="7"/>
    </row>
    <row r="575" spans="1:1" ht="15.75" customHeight="1" x14ac:dyDescent="0.25">
      <c r="A575" s="7"/>
    </row>
    <row r="576" spans="1:1" ht="15.75" customHeight="1" x14ac:dyDescent="0.25">
      <c r="A576" s="7"/>
    </row>
    <row r="577" spans="1:1" ht="15.75" customHeight="1" x14ac:dyDescent="0.25">
      <c r="A577" s="7"/>
    </row>
    <row r="578" spans="1:1" ht="15.75" customHeight="1" x14ac:dyDescent="0.25">
      <c r="A578" s="7"/>
    </row>
    <row r="579" spans="1:1" ht="15.75" customHeight="1" x14ac:dyDescent="0.25">
      <c r="A579" s="7"/>
    </row>
    <row r="580" spans="1:1" ht="15.75" customHeight="1" x14ac:dyDescent="0.25">
      <c r="A580" s="7"/>
    </row>
    <row r="581" spans="1:1" ht="15.75" customHeight="1" x14ac:dyDescent="0.25">
      <c r="A581" s="7"/>
    </row>
    <row r="582" spans="1:1" ht="15.75" customHeight="1" x14ac:dyDescent="0.25">
      <c r="A582" s="7"/>
    </row>
    <row r="583" spans="1:1" ht="15.75" customHeight="1" x14ac:dyDescent="0.25">
      <c r="A583" s="7"/>
    </row>
    <row r="584" spans="1:1" ht="15.75" customHeight="1" x14ac:dyDescent="0.25">
      <c r="A584" s="7"/>
    </row>
    <row r="585" spans="1:1" ht="15.75" customHeight="1" x14ac:dyDescent="0.25">
      <c r="A585" s="7"/>
    </row>
    <row r="586" spans="1:1" ht="15.75" customHeight="1" x14ac:dyDescent="0.25">
      <c r="A586" s="7"/>
    </row>
    <row r="587" spans="1:1" ht="15.75" customHeight="1" x14ac:dyDescent="0.25">
      <c r="A587" s="7"/>
    </row>
    <row r="588" spans="1:1" ht="15.75" customHeight="1" x14ac:dyDescent="0.25">
      <c r="A588" s="7"/>
    </row>
    <row r="589" spans="1:1" ht="15.75" customHeight="1" x14ac:dyDescent="0.25">
      <c r="A589" s="7"/>
    </row>
    <row r="590" spans="1:1" ht="15.75" customHeight="1" x14ac:dyDescent="0.25">
      <c r="A590" s="7"/>
    </row>
    <row r="591" spans="1:1" ht="15.75" customHeight="1" x14ac:dyDescent="0.25">
      <c r="A591" s="7"/>
    </row>
    <row r="592" spans="1:1" ht="15.75" customHeight="1" x14ac:dyDescent="0.25">
      <c r="A592" s="7"/>
    </row>
    <row r="593" spans="1:1" ht="15.75" customHeight="1" x14ac:dyDescent="0.25">
      <c r="A593" s="7"/>
    </row>
    <row r="594" spans="1:1" ht="15.75" customHeight="1" x14ac:dyDescent="0.25">
      <c r="A594" s="7"/>
    </row>
    <row r="595" spans="1:1" ht="15.75" customHeight="1" x14ac:dyDescent="0.25">
      <c r="A595" s="7"/>
    </row>
    <row r="596" spans="1:1" ht="15.75" customHeight="1" x14ac:dyDescent="0.25">
      <c r="A596" s="7"/>
    </row>
    <row r="597" spans="1:1" ht="15.75" customHeight="1" x14ac:dyDescent="0.25">
      <c r="A597" s="7"/>
    </row>
    <row r="598" spans="1:1" ht="15.75" customHeight="1" x14ac:dyDescent="0.25">
      <c r="A598" s="7"/>
    </row>
    <row r="599" spans="1:1" ht="15.75" customHeight="1" x14ac:dyDescent="0.25">
      <c r="A599" s="7"/>
    </row>
    <row r="600" spans="1:1" ht="15.75" customHeight="1" x14ac:dyDescent="0.25">
      <c r="A600" s="7"/>
    </row>
    <row r="601" spans="1:1" ht="15.75" customHeight="1" x14ac:dyDescent="0.25">
      <c r="A601" s="7"/>
    </row>
    <row r="602" spans="1:1" ht="15.75" customHeight="1" x14ac:dyDescent="0.25">
      <c r="A602" s="7"/>
    </row>
    <row r="603" spans="1:1" ht="15.75" customHeight="1" x14ac:dyDescent="0.25">
      <c r="A603" s="7"/>
    </row>
    <row r="604" spans="1:1" ht="15.75" customHeight="1" x14ac:dyDescent="0.25">
      <c r="A604" s="7"/>
    </row>
    <row r="605" spans="1:1" ht="15.75" customHeight="1" x14ac:dyDescent="0.25">
      <c r="A605" s="7"/>
    </row>
    <row r="606" spans="1:1" ht="15.75" customHeight="1" x14ac:dyDescent="0.25">
      <c r="A606" s="7"/>
    </row>
    <row r="607" spans="1:1" ht="15.75" customHeight="1" x14ac:dyDescent="0.25">
      <c r="A607" s="7"/>
    </row>
    <row r="608" spans="1:1" ht="15.75" customHeight="1" x14ac:dyDescent="0.25">
      <c r="A608" s="7"/>
    </row>
    <row r="609" spans="1:1" ht="15.75" customHeight="1" x14ac:dyDescent="0.25">
      <c r="A609" s="7"/>
    </row>
    <row r="610" spans="1:1" ht="15.75" customHeight="1" x14ac:dyDescent="0.25">
      <c r="A610" s="7"/>
    </row>
    <row r="611" spans="1:1" ht="15.75" customHeight="1" x14ac:dyDescent="0.25">
      <c r="A611" s="7"/>
    </row>
    <row r="612" spans="1:1" ht="15.75" customHeight="1" x14ac:dyDescent="0.25">
      <c r="A612" s="7"/>
    </row>
    <row r="613" spans="1:1" ht="15.75" customHeight="1" x14ac:dyDescent="0.25">
      <c r="A613" s="7"/>
    </row>
    <row r="614" spans="1:1" ht="15.75" customHeight="1" x14ac:dyDescent="0.25">
      <c r="A614" s="7"/>
    </row>
    <row r="615" spans="1:1" ht="15.75" customHeight="1" x14ac:dyDescent="0.25">
      <c r="A615" s="7"/>
    </row>
    <row r="616" spans="1:1" ht="15.75" customHeight="1" x14ac:dyDescent="0.25">
      <c r="A616" s="7"/>
    </row>
    <row r="617" spans="1:1" ht="15.75" customHeight="1" x14ac:dyDescent="0.25">
      <c r="A617" s="7"/>
    </row>
    <row r="618" spans="1:1" ht="15.75" customHeight="1" x14ac:dyDescent="0.25">
      <c r="A618" s="7"/>
    </row>
    <row r="619" spans="1:1" ht="15.75" customHeight="1" x14ac:dyDescent="0.25">
      <c r="A619" s="7"/>
    </row>
    <row r="620" spans="1:1" ht="15.75" customHeight="1" x14ac:dyDescent="0.25">
      <c r="A620" s="7"/>
    </row>
    <row r="621" spans="1:1" ht="15.75" customHeight="1" x14ac:dyDescent="0.25">
      <c r="A621" s="7"/>
    </row>
    <row r="622" spans="1:1" ht="15.75" customHeight="1" x14ac:dyDescent="0.25">
      <c r="A622" s="7"/>
    </row>
    <row r="623" spans="1:1" ht="15.75" customHeight="1" x14ac:dyDescent="0.25">
      <c r="A623" s="7"/>
    </row>
    <row r="624" spans="1:1" ht="15.75" customHeight="1" x14ac:dyDescent="0.25">
      <c r="A624" s="7"/>
    </row>
    <row r="625" spans="1:1" ht="15.75" customHeight="1" x14ac:dyDescent="0.25">
      <c r="A625" s="7"/>
    </row>
    <row r="626" spans="1:1" ht="15.75" customHeight="1" x14ac:dyDescent="0.25">
      <c r="A626" s="7"/>
    </row>
    <row r="627" spans="1:1" ht="15.75" customHeight="1" x14ac:dyDescent="0.25">
      <c r="A627" s="7"/>
    </row>
    <row r="628" spans="1:1" ht="15.75" customHeight="1" x14ac:dyDescent="0.25">
      <c r="A628" s="7"/>
    </row>
    <row r="629" spans="1:1" ht="15.75" customHeight="1" x14ac:dyDescent="0.25">
      <c r="A629" s="7"/>
    </row>
    <row r="630" spans="1:1" ht="15.75" customHeight="1" x14ac:dyDescent="0.25">
      <c r="A630" s="7"/>
    </row>
    <row r="631" spans="1:1" ht="15.75" customHeight="1" x14ac:dyDescent="0.25">
      <c r="A631" s="7"/>
    </row>
    <row r="632" spans="1:1" ht="15.75" customHeight="1" x14ac:dyDescent="0.25">
      <c r="A632" s="7"/>
    </row>
    <row r="633" spans="1:1" ht="15.75" customHeight="1" x14ac:dyDescent="0.25">
      <c r="A633" s="7"/>
    </row>
    <row r="634" spans="1:1" ht="15.75" customHeight="1" x14ac:dyDescent="0.25">
      <c r="A634" s="7"/>
    </row>
    <row r="635" spans="1:1" ht="15.75" customHeight="1" x14ac:dyDescent="0.25">
      <c r="A635" s="7"/>
    </row>
    <row r="636" spans="1:1" ht="15.75" customHeight="1" x14ac:dyDescent="0.25">
      <c r="A636" s="7"/>
    </row>
    <row r="637" spans="1:1" ht="15.75" customHeight="1" x14ac:dyDescent="0.25">
      <c r="A637" s="7"/>
    </row>
    <row r="638" spans="1:1" ht="15.75" customHeight="1" x14ac:dyDescent="0.25">
      <c r="A638" s="7"/>
    </row>
    <row r="639" spans="1:1" ht="15.75" customHeight="1" x14ac:dyDescent="0.25">
      <c r="A639" s="7"/>
    </row>
    <row r="640" spans="1:1" ht="15.75" customHeight="1" x14ac:dyDescent="0.25">
      <c r="A640" s="7"/>
    </row>
    <row r="641" spans="1:1" ht="15.75" customHeight="1" x14ac:dyDescent="0.25">
      <c r="A641" s="7"/>
    </row>
    <row r="642" spans="1:1" ht="15.75" customHeight="1" x14ac:dyDescent="0.25">
      <c r="A642" s="7"/>
    </row>
    <row r="643" spans="1:1" ht="15.75" customHeight="1" x14ac:dyDescent="0.25">
      <c r="A643" s="7"/>
    </row>
    <row r="644" spans="1:1" ht="15.75" customHeight="1" x14ac:dyDescent="0.25">
      <c r="A644" s="7"/>
    </row>
    <row r="645" spans="1:1" ht="15.75" customHeight="1" x14ac:dyDescent="0.25">
      <c r="A645" s="7"/>
    </row>
    <row r="646" spans="1:1" ht="15.75" customHeight="1" x14ac:dyDescent="0.25">
      <c r="A646" s="7"/>
    </row>
    <row r="647" spans="1:1" ht="15.75" customHeight="1" x14ac:dyDescent="0.25">
      <c r="A647" s="7"/>
    </row>
    <row r="648" spans="1:1" ht="15.75" customHeight="1" x14ac:dyDescent="0.25">
      <c r="A648" s="7"/>
    </row>
    <row r="649" spans="1:1" ht="15.75" customHeight="1" x14ac:dyDescent="0.25">
      <c r="A649" s="7"/>
    </row>
    <row r="650" spans="1:1" ht="15.75" customHeight="1" x14ac:dyDescent="0.25">
      <c r="A650" s="7"/>
    </row>
    <row r="651" spans="1:1" ht="15.75" customHeight="1" x14ac:dyDescent="0.25">
      <c r="A651" s="7"/>
    </row>
    <row r="652" spans="1:1" ht="15.75" customHeight="1" x14ac:dyDescent="0.25">
      <c r="A652" s="7"/>
    </row>
    <row r="653" spans="1:1" ht="15.75" customHeight="1" x14ac:dyDescent="0.25">
      <c r="A653" s="7"/>
    </row>
    <row r="654" spans="1:1" ht="15.75" customHeight="1" x14ac:dyDescent="0.25">
      <c r="A654" s="7"/>
    </row>
    <row r="655" spans="1:1" ht="15.75" customHeight="1" x14ac:dyDescent="0.25">
      <c r="A655" s="7"/>
    </row>
    <row r="656" spans="1:1" ht="15.75" customHeight="1" x14ac:dyDescent="0.25">
      <c r="A656" s="7"/>
    </row>
    <row r="657" spans="1:1" ht="15.75" customHeight="1" x14ac:dyDescent="0.25">
      <c r="A657" s="7"/>
    </row>
    <row r="658" spans="1:1" ht="15.75" customHeight="1" x14ac:dyDescent="0.25">
      <c r="A658" s="7"/>
    </row>
    <row r="659" spans="1:1" ht="15.75" customHeight="1" x14ac:dyDescent="0.25">
      <c r="A659" s="7"/>
    </row>
    <row r="660" spans="1:1" ht="15.75" customHeight="1" x14ac:dyDescent="0.25">
      <c r="A660" s="7"/>
    </row>
    <row r="661" spans="1:1" ht="15.75" customHeight="1" x14ac:dyDescent="0.25">
      <c r="A661" s="7"/>
    </row>
    <row r="662" spans="1:1" ht="15.75" customHeight="1" x14ac:dyDescent="0.25">
      <c r="A662" s="7"/>
    </row>
    <row r="663" spans="1:1" ht="15.75" customHeight="1" x14ac:dyDescent="0.25">
      <c r="A663" s="7"/>
    </row>
    <row r="664" spans="1:1" ht="15.75" customHeight="1" x14ac:dyDescent="0.25">
      <c r="A664" s="7"/>
    </row>
    <row r="665" spans="1:1" ht="15.75" customHeight="1" x14ac:dyDescent="0.25">
      <c r="A665" s="7"/>
    </row>
    <row r="666" spans="1:1" ht="15.75" customHeight="1" x14ac:dyDescent="0.25">
      <c r="A666" s="7"/>
    </row>
    <row r="667" spans="1:1" ht="15.75" customHeight="1" x14ac:dyDescent="0.25">
      <c r="A667" s="7"/>
    </row>
    <row r="668" spans="1:1" ht="15.75" customHeight="1" x14ac:dyDescent="0.25">
      <c r="A668" s="7"/>
    </row>
    <row r="669" spans="1:1" ht="15.75" customHeight="1" x14ac:dyDescent="0.25">
      <c r="A669" s="7"/>
    </row>
    <row r="670" spans="1:1" ht="15.75" customHeight="1" x14ac:dyDescent="0.25">
      <c r="A670" s="7"/>
    </row>
    <row r="671" spans="1:1" ht="15.75" customHeight="1" x14ac:dyDescent="0.25">
      <c r="A671" s="7"/>
    </row>
    <row r="672" spans="1:1" ht="15.75" customHeight="1" x14ac:dyDescent="0.25">
      <c r="A672" s="7"/>
    </row>
    <row r="673" spans="1:1" ht="15.75" customHeight="1" x14ac:dyDescent="0.25">
      <c r="A673" s="7"/>
    </row>
    <row r="674" spans="1:1" ht="15.75" customHeight="1" x14ac:dyDescent="0.25">
      <c r="A674" s="7"/>
    </row>
    <row r="675" spans="1:1" ht="15.75" customHeight="1" x14ac:dyDescent="0.25">
      <c r="A675" s="7"/>
    </row>
    <row r="676" spans="1:1" ht="15.75" customHeight="1" x14ac:dyDescent="0.25">
      <c r="A676" s="7"/>
    </row>
    <row r="677" spans="1:1" ht="15.75" customHeight="1" x14ac:dyDescent="0.25">
      <c r="A677" s="7"/>
    </row>
    <row r="678" spans="1:1" ht="15.75" customHeight="1" x14ac:dyDescent="0.25">
      <c r="A678" s="7"/>
    </row>
    <row r="679" spans="1:1" ht="15.75" customHeight="1" x14ac:dyDescent="0.25">
      <c r="A679" s="7"/>
    </row>
    <row r="680" spans="1:1" ht="15.75" customHeight="1" x14ac:dyDescent="0.25">
      <c r="A680" s="7"/>
    </row>
    <row r="681" spans="1:1" ht="15.75" customHeight="1" x14ac:dyDescent="0.25">
      <c r="A681" s="7"/>
    </row>
    <row r="682" spans="1:1" ht="15.75" customHeight="1" x14ac:dyDescent="0.25">
      <c r="A682" s="7"/>
    </row>
    <row r="683" spans="1:1" ht="15.75" customHeight="1" x14ac:dyDescent="0.25">
      <c r="A683" s="7"/>
    </row>
    <row r="684" spans="1:1" ht="15.75" customHeight="1" x14ac:dyDescent="0.25">
      <c r="A684" s="7"/>
    </row>
    <row r="685" spans="1:1" ht="15.75" customHeight="1" x14ac:dyDescent="0.25">
      <c r="A685" s="7"/>
    </row>
    <row r="686" spans="1:1" ht="15.75" customHeight="1" x14ac:dyDescent="0.25">
      <c r="A686" s="7"/>
    </row>
    <row r="687" spans="1:1" ht="15.75" customHeight="1" x14ac:dyDescent="0.25">
      <c r="A687" s="7"/>
    </row>
    <row r="688" spans="1:1" ht="15.75" customHeight="1" x14ac:dyDescent="0.25">
      <c r="A688" s="7"/>
    </row>
    <row r="689" spans="1:1" ht="15.75" customHeight="1" x14ac:dyDescent="0.25">
      <c r="A689" s="7"/>
    </row>
    <row r="690" spans="1:1" ht="15.75" customHeight="1" x14ac:dyDescent="0.25">
      <c r="A690" s="7"/>
    </row>
    <row r="691" spans="1:1" ht="15.75" customHeight="1" x14ac:dyDescent="0.25">
      <c r="A691" s="7"/>
    </row>
    <row r="692" spans="1:1" ht="15.75" customHeight="1" x14ac:dyDescent="0.25">
      <c r="A692" s="7"/>
    </row>
    <row r="693" spans="1:1" ht="15.75" customHeight="1" x14ac:dyDescent="0.25">
      <c r="A693" s="7"/>
    </row>
    <row r="694" spans="1:1" ht="15.75" customHeight="1" x14ac:dyDescent="0.25">
      <c r="A694" s="7"/>
    </row>
    <row r="695" spans="1:1" ht="15.75" customHeight="1" x14ac:dyDescent="0.25">
      <c r="A695" s="7"/>
    </row>
    <row r="696" spans="1:1" ht="15.75" customHeight="1" x14ac:dyDescent="0.25">
      <c r="A696" s="7"/>
    </row>
    <row r="697" spans="1:1" ht="15.75" customHeight="1" x14ac:dyDescent="0.25">
      <c r="A697" s="7"/>
    </row>
    <row r="698" spans="1:1" ht="15.75" customHeight="1" x14ac:dyDescent="0.25">
      <c r="A698" s="7"/>
    </row>
    <row r="699" spans="1:1" ht="15.75" customHeight="1" x14ac:dyDescent="0.25">
      <c r="A699" s="7"/>
    </row>
    <row r="700" spans="1:1" ht="15.75" customHeight="1" x14ac:dyDescent="0.25">
      <c r="A700" s="7"/>
    </row>
    <row r="701" spans="1:1" ht="15.75" customHeight="1" x14ac:dyDescent="0.25">
      <c r="A701" s="7"/>
    </row>
    <row r="702" spans="1:1" ht="15.75" customHeight="1" x14ac:dyDescent="0.25">
      <c r="A702" s="7"/>
    </row>
    <row r="703" spans="1:1" ht="15.75" customHeight="1" x14ac:dyDescent="0.25">
      <c r="A703" s="7"/>
    </row>
    <row r="704" spans="1:1" ht="15.75" customHeight="1" x14ac:dyDescent="0.25">
      <c r="A704" s="7"/>
    </row>
    <row r="705" spans="1:1" ht="15.75" customHeight="1" x14ac:dyDescent="0.25">
      <c r="A705" s="7"/>
    </row>
    <row r="706" spans="1:1" ht="15.75" customHeight="1" x14ac:dyDescent="0.25">
      <c r="A706" s="7"/>
    </row>
    <row r="707" spans="1:1" ht="15.75" customHeight="1" x14ac:dyDescent="0.25">
      <c r="A707" s="7"/>
    </row>
    <row r="708" spans="1:1" ht="15.75" customHeight="1" x14ac:dyDescent="0.25">
      <c r="A708" s="7"/>
    </row>
    <row r="709" spans="1:1" ht="15.75" customHeight="1" x14ac:dyDescent="0.25">
      <c r="A709" s="7"/>
    </row>
    <row r="710" spans="1:1" ht="15.75" customHeight="1" x14ac:dyDescent="0.25">
      <c r="A710" s="7"/>
    </row>
    <row r="711" spans="1:1" ht="15.75" customHeight="1" x14ac:dyDescent="0.25">
      <c r="A711" s="7"/>
    </row>
    <row r="712" spans="1:1" ht="15.75" customHeight="1" x14ac:dyDescent="0.25">
      <c r="A712" s="7"/>
    </row>
    <row r="713" spans="1:1" ht="15.75" customHeight="1" x14ac:dyDescent="0.25">
      <c r="A713" s="7"/>
    </row>
    <row r="714" spans="1:1" ht="15.75" customHeight="1" x14ac:dyDescent="0.25">
      <c r="A714" s="7"/>
    </row>
    <row r="715" spans="1:1" ht="15.75" customHeight="1" x14ac:dyDescent="0.25">
      <c r="A715" s="7"/>
    </row>
    <row r="716" spans="1:1" ht="15.75" customHeight="1" x14ac:dyDescent="0.25">
      <c r="A716" s="7"/>
    </row>
    <row r="717" spans="1:1" ht="15.75" customHeight="1" x14ac:dyDescent="0.25">
      <c r="A717" s="7"/>
    </row>
    <row r="718" spans="1:1" ht="15.75" customHeight="1" x14ac:dyDescent="0.25">
      <c r="A718" s="7"/>
    </row>
    <row r="719" spans="1:1" ht="15.75" customHeight="1" x14ac:dyDescent="0.25">
      <c r="A719" s="7"/>
    </row>
    <row r="720" spans="1:1" ht="15.75" customHeight="1" x14ac:dyDescent="0.25">
      <c r="A720" s="7"/>
    </row>
    <row r="721" spans="1:1" ht="15.75" customHeight="1" x14ac:dyDescent="0.25">
      <c r="A721" s="7"/>
    </row>
    <row r="722" spans="1:1" ht="15.75" customHeight="1" x14ac:dyDescent="0.25">
      <c r="A722" s="7"/>
    </row>
    <row r="723" spans="1:1" ht="15.75" customHeight="1" x14ac:dyDescent="0.25">
      <c r="A723" s="7"/>
    </row>
    <row r="724" spans="1:1" ht="15.75" customHeight="1" x14ac:dyDescent="0.25">
      <c r="A724" s="7"/>
    </row>
    <row r="725" spans="1:1" ht="15.75" customHeight="1" x14ac:dyDescent="0.25">
      <c r="A725" s="7"/>
    </row>
    <row r="726" spans="1:1" ht="15.75" customHeight="1" x14ac:dyDescent="0.25">
      <c r="A726" s="7"/>
    </row>
    <row r="727" spans="1:1" ht="15.75" customHeight="1" x14ac:dyDescent="0.25">
      <c r="A727" s="7"/>
    </row>
    <row r="728" spans="1:1" ht="15.75" customHeight="1" x14ac:dyDescent="0.25">
      <c r="A728" s="7"/>
    </row>
    <row r="729" spans="1:1" ht="15.75" customHeight="1" x14ac:dyDescent="0.25">
      <c r="A729" s="7"/>
    </row>
    <row r="730" spans="1:1" ht="15.75" customHeight="1" x14ac:dyDescent="0.25">
      <c r="A730" s="7"/>
    </row>
    <row r="731" spans="1:1" ht="15.75" customHeight="1" x14ac:dyDescent="0.25">
      <c r="A731" s="7"/>
    </row>
    <row r="732" spans="1:1" ht="15.75" customHeight="1" x14ac:dyDescent="0.25">
      <c r="A732" s="7"/>
    </row>
    <row r="733" spans="1:1" ht="15.75" customHeight="1" x14ac:dyDescent="0.25">
      <c r="A733" s="7"/>
    </row>
    <row r="734" spans="1:1" ht="15.75" customHeight="1" x14ac:dyDescent="0.25">
      <c r="A734" s="7"/>
    </row>
    <row r="735" spans="1:1" ht="15.75" customHeight="1" x14ac:dyDescent="0.25">
      <c r="A735" s="7"/>
    </row>
    <row r="736" spans="1:1" ht="15.75" customHeight="1" x14ac:dyDescent="0.25">
      <c r="A736" s="7"/>
    </row>
    <row r="737" spans="1:1" ht="15.75" customHeight="1" x14ac:dyDescent="0.25">
      <c r="A737" s="7"/>
    </row>
    <row r="738" spans="1:1" ht="15.75" customHeight="1" x14ac:dyDescent="0.25">
      <c r="A738" s="7"/>
    </row>
    <row r="739" spans="1:1" ht="15.75" customHeight="1" x14ac:dyDescent="0.25">
      <c r="A739" s="7"/>
    </row>
    <row r="740" spans="1:1" ht="15.75" customHeight="1" x14ac:dyDescent="0.25">
      <c r="A740" s="7"/>
    </row>
    <row r="741" spans="1:1" ht="15.75" customHeight="1" x14ac:dyDescent="0.25">
      <c r="A741" s="7"/>
    </row>
    <row r="742" spans="1:1" ht="15.75" customHeight="1" x14ac:dyDescent="0.25">
      <c r="A742" s="7"/>
    </row>
    <row r="743" spans="1:1" ht="15.75" customHeight="1" x14ac:dyDescent="0.25">
      <c r="A743" s="7"/>
    </row>
    <row r="744" spans="1:1" ht="15.75" customHeight="1" x14ac:dyDescent="0.25">
      <c r="A744" s="7"/>
    </row>
    <row r="745" spans="1:1" ht="15.75" customHeight="1" x14ac:dyDescent="0.25">
      <c r="A745" s="7"/>
    </row>
    <row r="746" spans="1:1" ht="15.75" customHeight="1" x14ac:dyDescent="0.25">
      <c r="A746" s="7"/>
    </row>
    <row r="747" spans="1:1" ht="15.75" customHeight="1" x14ac:dyDescent="0.25">
      <c r="A747" s="7"/>
    </row>
    <row r="748" spans="1:1" ht="15.75" customHeight="1" x14ac:dyDescent="0.25">
      <c r="A748" s="7"/>
    </row>
    <row r="749" spans="1:1" ht="15.75" customHeight="1" x14ac:dyDescent="0.25">
      <c r="A749" s="7"/>
    </row>
    <row r="750" spans="1:1" ht="15.75" customHeight="1" x14ac:dyDescent="0.25">
      <c r="A750" s="7"/>
    </row>
    <row r="751" spans="1:1" ht="15.75" customHeight="1" x14ac:dyDescent="0.25">
      <c r="A751" s="7"/>
    </row>
    <row r="752" spans="1:1" ht="15.75" customHeight="1" x14ac:dyDescent="0.25">
      <c r="A752" s="7"/>
    </row>
    <row r="753" spans="1:1" ht="15.75" customHeight="1" x14ac:dyDescent="0.25">
      <c r="A753" s="7"/>
    </row>
    <row r="754" spans="1:1" ht="15.75" customHeight="1" x14ac:dyDescent="0.25">
      <c r="A754" s="7"/>
    </row>
    <row r="755" spans="1:1" ht="15.75" customHeight="1" x14ac:dyDescent="0.25">
      <c r="A755" s="7"/>
    </row>
    <row r="756" spans="1:1" ht="15.75" customHeight="1" x14ac:dyDescent="0.25">
      <c r="A756" s="7"/>
    </row>
    <row r="757" spans="1:1" ht="15.75" customHeight="1" x14ac:dyDescent="0.25">
      <c r="A757" s="7"/>
    </row>
    <row r="758" spans="1:1" ht="15.75" customHeight="1" x14ac:dyDescent="0.25">
      <c r="A758" s="7"/>
    </row>
    <row r="759" spans="1:1" ht="15.75" customHeight="1" x14ac:dyDescent="0.25">
      <c r="A759" s="7"/>
    </row>
    <row r="760" spans="1:1" ht="15.75" customHeight="1" x14ac:dyDescent="0.25">
      <c r="A760" s="7"/>
    </row>
    <row r="761" spans="1:1" ht="15.75" customHeight="1" x14ac:dyDescent="0.25">
      <c r="A761" s="7"/>
    </row>
    <row r="762" spans="1:1" ht="15.75" customHeight="1" x14ac:dyDescent="0.25">
      <c r="A762" s="7"/>
    </row>
    <row r="763" spans="1:1" ht="15.75" customHeight="1" x14ac:dyDescent="0.25">
      <c r="A763" s="7"/>
    </row>
    <row r="764" spans="1:1" ht="15.75" customHeight="1" x14ac:dyDescent="0.25">
      <c r="A764" s="7"/>
    </row>
    <row r="765" spans="1:1" ht="15.75" customHeight="1" x14ac:dyDescent="0.25">
      <c r="A765" s="7"/>
    </row>
    <row r="766" spans="1:1" ht="15.75" customHeight="1" x14ac:dyDescent="0.25">
      <c r="A766" s="7"/>
    </row>
    <row r="767" spans="1:1" ht="15.75" customHeight="1" x14ac:dyDescent="0.25">
      <c r="A767" s="7"/>
    </row>
    <row r="768" spans="1:1" ht="15.75" customHeight="1" x14ac:dyDescent="0.25">
      <c r="A768" s="7"/>
    </row>
    <row r="769" spans="1:1" ht="15.75" customHeight="1" x14ac:dyDescent="0.25">
      <c r="A769" s="7"/>
    </row>
    <row r="770" spans="1:1" ht="15.75" customHeight="1" x14ac:dyDescent="0.25">
      <c r="A770" s="7"/>
    </row>
    <row r="771" spans="1:1" ht="15.75" customHeight="1" x14ac:dyDescent="0.25">
      <c r="A771" s="7"/>
    </row>
    <row r="772" spans="1:1" ht="15.75" customHeight="1" x14ac:dyDescent="0.25">
      <c r="A772" s="7"/>
    </row>
    <row r="773" spans="1:1" ht="15.75" customHeight="1" x14ac:dyDescent="0.25">
      <c r="A773" s="7"/>
    </row>
    <row r="774" spans="1:1" ht="15.75" customHeight="1" x14ac:dyDescent="0.25">
      <c r="A774" s="7"/>
    </row>
    <row r="775" spans="1:1" ht="15.75" customHeight="1" x14ac:dyDescent="0.25">
      <c r="A775" s="7"/>
    </row>
    <row r="776" spans="1:1" ht="15.75" customHeight="1" x14ac:dyDescent="0.25">
      <c r="A776" s="7"/>
    </row>
    <row r="777" spans="1:1" ht="15.75" customHeight="1" x14ac:dyDescent="0.25">
      <c r="A777" s="7"/>
    </row>
    <row r="778" spans="1:1" ht="15.75" customHeight="1" x14ac:dyDescent="0.25">
      <c r="A778" s="7"/>
    </row>
    <row r="779" spans="1:1" ht="15.75" customHeight="1" x14ac:dyDescent="0.25">
      <c r="A779" s="7"/>
    </row>
    <row r="780" spans="1:1" ht="15.75" customHeight="1" x14ac:dyDescent="0.25">
      <c r="A780" s="7"/>
    </row>
    <row r="781" spans="1:1" ht="15.75" customHeight="1" x14ac:dyDescent="0.25">
      <c r="A781" s="7"/>
    </row>
    <row r="782" spans="1:1" ht="15.75" customHeight="1" x14ac:dyDescent="0.25">
      <c r="A782" s="7"/>
    </row>
    <row r="783" spans="1:1" ht="15.75" customHeight="1" x14ac:dyDescent="0.25">
      <c r="A783" s="7"/>
    </row>
    <row r="784" spans="1:1" ht="15.75" customHeight="1" x14ac:dyDescent="0.25">
      <c r="A784" s="7"/>
    </row>
    <row r="785" spans="1:1" ht="15.75" customHeight="1" x14ac:dyDescent="0.25">
      <c r="A785" s="7"/>
    </row>
    <row r="786" spans="1:1" ht="15.75" customHeight="1" x14ac:dyDescent="0.25">
      <c r="A786" s="7"/>
    </row>
    <row r="787" spans="1:1" ht="15.75" customHeight="1" x14ac:dyDescent="0.25">
      <c r="A787" s="7"/>
    </row>
    <row r="788" spans="1:1" ht="15.75" customHeight="1" x14ac:dyDescent="0.25">
      <c r="A788" s="7"/>
    </row>
    <row r="789" spans="1:1" ht="15.75" customHeight="1" x14ac:dyDescent="0.25">
      <c r="A789" s="7"/>
    </row>
    <row r="790" spans="1:1" ht="15.75" customHeight="1" x14ac:dyDescent="0.25">
      <c r="A790" s="7"/>
    </row>
    <row r="791" spans="1:1" ht="15.75" customHeight="1" x14ac:dyDescent="0.25">
      <c r="A791" s="7"/>
    </row>
    <row r="792" spans="1:1" ht="15.75" customHeight="1" x14ac:dyDescent="0.25">
      <c r="A792" s="7"/>
    </row>
    <row r="793" spans="1:1" ht="15.75" customHeight="1" x14ac:dyDescent="0.25">
      <c r="A793" s="7"/>
    </row>
    <row r="794" spans="1:1" ht="15.75" customHeight="1" x14ac:dyDescent="0.25">
      <c r="A794" s="7"/>
    </row>
    <row r="795" spans="1:1" ht="15.75" customHeight="1" x14ac:dyDescent="0.25">
      <c r="A795" s="7"/>
    </row>
    <row r="796" spans="1:1" ht="15.75" customHeight="1" x14ac:dyDescent="0.25">
      <c r="A796" s="7"/>
    </row>
    <row r="797" spans="1:1" ht="15.75" customHeight="1" x14ac:dyDescent="0.25">
      <c r="A797" s="7"/>
    </row>
    <row r="798" spans="1:1" ht="15.75" customHeight="1" x14ac:dyDescent="0.25">
      <c r="A798" s="7"/>
    </row>
    <row r="799" spans="1:1" ht="15.75" customHeight="1" x14ac:dyDescent="0.25">
      <c r="A799" s="7"/>
    </row>
    <row r="800" spans="1:1" ht="15.75" customHeight="1" x14ac:dyDescent="0.25">
      <c r="A800" s="7"/>
    </row>
    <row r="801" spans="1:1" ht="15.75" customHeight="1" x14ac:dyDescent="0.25">
      <c r="A801" s="7"/>
    </row>
    <row r="802" spans="1:1" ht="15.75" customHeight="1" x14ac:dyDescent="0.25">
      <c r="A802" s="7"/>
    </row>
    <row r="803" spans="1:1" ht="15.75" customHeight="1" x14ac:dyDescent="0.25">
      <c r="A803" s="7"/>
    </row>
    <row r="804" spans="1:1" ht="15.75" customHeight="1" x14ac:dyDescent="0.25">
      <c r="A804" s="7"/>
    </row>
    <row r="805" spans="1:1" ht="15.75" customHeight="1" x14ac:dyDescent="0.25">
      <c r="A805" s="7"/>
    </row>
    <row r="806" spans="1:1" ht="15.75" customHeight="1" x14ac:dyDescent="0.25">
      <c r="A806" s="7"/>
    </row>
    <row r="807" spans="1:1" ht="15.75" customHeight="1" x14ac:dyDescent="0.25">
      <c r="A807" s="7"/>
    </row>
    <row r="808" spans="1:1" ht="15.75" customHeight="1" x14ac:dyDescent="0.25">
      <c r="A808" s="7"/>
    </row>
    <row r="809" spans="1:1" ht="15.75" customHeight="1" x14ac:dyDescent="0.25">
      <c r="A809" s="7"/>
    </row>
    <row r="810" spans="1:1" ht="15.75" customHeight="1" x14ac:dyDescent="0.25">
      <c r="A810" s="7"/>
    </row>
    <row r="811" spans="1:1" ht="15.75" customHeight="1" x14ac:dyDescent="0.25">
      <c r="A811" s="7"/>
    </row>
    <row r="812" spans="1:1" ht="15.75" customHeight="1" x14ac:dyDescent="0.25">
      <c r="A812" s="7"/>
    </row>
    <row r="813" spans="1:1" ht="15.75" customHeight="1" x14ac:dyDescent="0.25">
      <c r="A813" s="7"/>
    </row>
    <row r="814" spans="1:1" ht="15.75" customHeight="1" x14ac:dyDescent="0.25">
      <c r="A814" s="7"/>
    </row>
    <row r="815" spans="1:1" ht="15.75" customHeight="1" x14ac:dyDescent="0.25">
      <c r="A815" s="7"/>
    </row>
    <row r="816" spans="1:1" ht="15.75" customHeight="1" x14ac:dyDescent="0.25">
      <c r="A816" s="7"/>
    </row>
    <row r="817" spans="1:1" ht="15.75" customHeight="1" x14ac:dyDescent="0.25">
      <c r="A817" s="7"/>
    </row>
    <row r="818" spans="1:1" ht="15.75" customHeight="1" x14ac:dyDescent="0.25">
      <c r="A818" s="7"/>
    </row>
    <row r="819" spans="1:1" ht="15.75" customHeight="1" x14ac:dyDescent="0.25">
      <c r="A819" s="7"/>
    </row>
    <row r="820" spans="1:1" ht="15.75" customHeight="1" x14ac:dyDescent="0.25">
      <c r="A820" s="7"/>
    </row>
    <row r="821" spans="1:1" ht="15.75" customHeight="1" x14ac:dyDescent="0.25">
      <c r="A821" s="7"/>
    </row>
    <row r="822" spans="1:1" ht="15.75" customHeight="1" x14ac:dyDescent="0.25">
      <c r="A822" s="7"/>
    </row>
    <row r="823" spans="1:1" ht="15.75" customHeight="1" x14ac:dyDescent="0.25">
      <c r="A823" s="7"/>
    </row>
    <row r="824" spans="1:1" ht="15.75" customHeight="1" x14ac:dyDescent="0.25">
      <c r="A824" s="7"/>
    </row>
    <row r="825" spans="1:1" ht="15.75" customHeight="1" x14ac:dyDescent="0.25">
      <c r="A825" s="7"/>
    </row>
    <row r="826" spans="1:1" ht="15.75" customHeight="1" x14ac:dyDescent="0.25">
      <c r="A826" s="7"/>
    </row>
    <row r="827" spans="1:1" ht="15.75" customHeight="1" x14ac:dyDescent="0.25">
      <c r="A827" s="7"/>
    </row>
    <row r="828" spans="1:1" ht="15.75" customHeight="1" x14ac:dyDescent="0.25">
      <c r="A828" s="7"/>
    </row>
    <row r="829" spans="1:1" ht="15.75" customHeight="1" x14ac:dyDescent="0.25">
      <c r="A829" s="7"/>
    </row>
    <row r="830" spans="1:1" ht="15.75" customHeight="1" x14ac:dyDescent="0.25">
      <c r="A830" s="7"/>
    </row>
    <row r="831" spans="1:1" ht="15.75" customHeight="1" x14ac:dyDescent="0.25">
      <c r="A831" s="7"/>
    </row>
    <row r="832" spans="1:1" ht="15.75" customHeight="1" x14ac:dyDescent="0.25">
      <c r="A832" s="7"/>
    </row>
    <row r="833" spans="1:1" ht="15.75" customHeight="1" x14ac:dyDescent="0.25">
      <c r="A833" s="7"/>
    </row>
    <row r="834" spans="1:1" ht="15.75" customHeight="1" x14ac:dyDescent="0.25">
      <c r="A834" s="7"/>
    </row>
    <row r="835" spans="1:1" ht="15.75" customHeight="1" x14ac:dyDescent="0.25">
      <c r="A835" s="7"/>
    </row>
    <row r="836" spans="1:1" ht="15.75" customHeight="1" x14ac:dyDescent="0.25">
      <c r="A836" s="7"/>
    </row>
    <row r="837" spans="1:1" ht="15.75" customHeight="1" x14ac:dyDescent="0.25">
      <c r="A837" s="7"/>
    </row>
    <row r="838" spans="1:1" ht="15.75" customHeight="1" x14ac:dyDescent="0.25">
      <c r="A838" s="7"/>
    </row>
    <row r="839" spans="1:1" ht="15.75" customHeight="1" x14ac:dyDescent="0.25">
      <c r="A839" s="7"/>
    </row>
    <row r="840" spans="1:1" ht="15.75" customHeight="1" x14ac:dyDescent="0.25">
      <c r="A840" s="7"/>
    </row>
    <row r="841" spans="1:1" ht="15.75" customHeight="1" x14ac:dyDescent="0.25">
      <c r="A841" s="7"/>
    </row>
    <row r="842" spans="1:1" ht="15.75" customHeight="1" x14ac:dyDescent="0.25">
      <c r="A842" s="7"/>
    </row>
    <row r="843" spans="1:1" ht="15.75" customHeight="1" x14ac:dyDescent="0.25">
      <c r="A843" s="7"/>
    </row>
    <row r="844" spans="1:1" ht="15.75" customHeight="1" x14ac:dyDescent="0.25">
      <c r="A844" s="7"/>
    </row>
    <row r="845" spans="1:1" ht="15.75" customHeight="1" x14ac:dyDescent="0.25">
      <c r="A845" s="7"/>
    </row>
    <row r="846" spans="1:1" ht="15.75" customHeight="1" x14ac:dyDescent="0.25">
      <c r="A846" s="7"/>
    </row>
    <row r="847" spans="1:1" ht="15.75" customHeight="1" x14ac:dyDescent="0.25">
      <c r="A847" s="7"/>
    </row>
    <row r="848" spans="1:1" ht="15.75" customHeight="1" x14ac:dyDescent="0.25">
      <c r="A848" s="7"/>
    </row>
    <row r="849" spans="1:1" ht="15.75" customHeight="1" x14ac:dyDescent="0.25">
      <c r="A849" s="7"/>
    </row>
    <row r="850" spans="1:1" ht="15.75" customHeight="1" x14ac:dyDescent="0.25">
      <c r="A850" s="7"/>
    </row>
    <row r="851" spans="1:1" ht="15.75" customHeight="1" x14ac:dyDescent="0.25">
      <c r="A851" s="7"/>
    </row>
    <row r="852" spans="1:1" ht="15.75" customHeight="1" x14ac:dyDescent="0.25">
      <c r="A852" s="7"/>
    </row>
    <row r="853" spans="1:1" ht="15.75" customHeight="1" x14ac:dyDescent="0.25">
      <c r="A853" s="7"/>
    </row>
    <row r="854" spans="1:1" ht="15.75" customHeight="1" x14ac:dyDescent="0.25">
      <c r="A854" s="7"/>
    </row>
    <row r="855" spans="1:1" ht="15.75" customHeight="1" x14ac:dyDescent="0.25">
      <c r="A855" s="7"/>
    </row>
    <row r="856" spans="1:1" ht="15.75" customHeight="1" x14ac:dyDescent="0.25">
      <c r="A856" s="7"/>
    </row>
    <row r="857" spans="1:1" ht="15.75" customHeight="1" x14ac:dyDescent="0.25">
      <c r="A857" s="7"/>
    </row>
    <row r="858" spans="1:1" ht="15.75" customHeight="1" x14ac:dyDescent="0.25">
      <c r="A858" s="7"/>
    </row>
    <row r="859" spans="1:1" ht="15.75" customHeight="1" x14ac:dyDescent="0.25">
      <c r="A859" s="7"/>
    </row>
    <row r="860" spans="1:1" ht="15.75" customHeight="1" x14ac:dyDescent="0.25">
      <c r="A860" s="7"/>
    </row>
    <row r="861" spans="1:1" ht="15.75" customHeight="1" x14ac:dyDescent="0.25">
      <c r="A861" s="7"/>
    </row>
    <row r="862" spans="1:1" ht="15.75" customHeight="1" x14ac:dyDescent="0.25">
      <c r="A862" s="7"/>
    </row>
    <row r="863" spans="1:1" ht="15.75" customHeight="1" x14ac:dyDescent="0.25">
      <c r="A863" s="7"/>
    </row>
    <row r="864" spans="1:1" ht="15.75" customHeight="1" x14ac:dyDescent="0.25">
      <c r="A864" s="7"/>
    </row>
    <row r="865" spans="1:1" ht="15.75" customHeight="1" x14ac:dyDescent="0.25">
      <c r="A865" s="7"/>
    </row>
    <row r="866" spans="1:1" ht="15.75" customHeight="1" x14ac:dyDescent="0.25">
      <c r="A866" s="7"/>
    </row>
    <row r="867" spans="1:1" ht="15.75" customHeight="1" x14ac:dyDescent="0.25">
      <c r="A867" s="7"/>
    </row>
    <row r="868" spans="1:1" ht="15.75" customHeight="1" x14ac:dyDescent="0.25">
      <c r="A868" s="7"/>
    </row>
    <row r="869" spans="1:1" ht="15.75" customHeight="1" x14ac:dyDescent="0.25">
      <c r="A869" s="7"/>
    </row>
    <row r="870" spans="1:1" ht="15.75" customHeight="1" x14ac:dyDescent="0.25">
      <c r="A870" s="7"/>
    </row>
    <row r="871" spans="1:1" ht="15.75" customHeight="1" x14ac:dyDescent="0.25">
      <c r="A871" s="7"/>
    </row>
    <row r="872" spans="1:1" ht="15.75" customHeight="1" x14ac:dyDescent="0.25">
      <c r="A872" s="7"/>
    </row>
    <row r="873" spans="1:1" ht="15.75" customHeight="1" x14ac:dyDescent="0.25">
      <c r="A873" s="7"/>
    </row>
    <row r="874" spans="1:1" ht="15.75" customHeight="1" x14ac:dyDescent="0.25">
      <c r="A874" s="7"/>
    </row>
    <row r="875" spans="1:1" ht="15.75" customHeight="1" x14ac:dyDescent="0.25">
      <c r="A875" s="7"/>
    </row>
    <row r="876" spans="1:1" ht="15.75" customHeight="1" x14ac:dyDescent="0.25">
      <c r="A876" s="7"/>
    </row>
    <row r="877" spans="1:1" ht="15.75" customHeight="1" x14ac:dyDescent="0.25">
      <c r="A877" s="7"/>
    </row>
    <row r="878" spans="1:1" ht="15.75" customHeight="1" x14ac:dyDescent="0.25">
      <c r="A878" s="7"/>
    </row>
    <row r="879" spans="1:1" ht="15.75" customHeight="1" x14ac:dyDescent="0.25">
      <c r="A879" s="7"/>
    </row>
    <row r="880" spans="1:1" ht="15.75" customHeight="1" x14ac:dyDescent="0.25">
      <c r="A880" s="7"/>
    </row>
    <row r="881" spans="1:1" ht="15.75" customHeight="1" x14ac:dyDescent="0.25">
      <c r="A881" s="7"/>
    </row>
    <row r="882" spans="1:1" ht="15.75" customHeight="1" x14ac:dyDescent="0.25">
      <c r="A882" s="7"/>
    </row>
    <row r="883" spans="1:1" ht="15.75" customHeight="1" x14ac:dyDescent="0.25">
      <c r="A883" s="7"/>
    </row>
    <row r="884" spans="1:1" ht="15.75" customHeight="1" x14ac:dyDescent="0.25">
      <c r="A884" s="7"/>
    </row>
    <row r="885" spans="1:1" ht="15.75" customHeight="1" x14ac:dyDescent="0.25">
      <c r="A885" s="7"/>
    </row>
    <row r="886" spans="1:1" ht="15.75" customHeight="1" x14ac:dyDescent="0.25">
      <c r="A886" s="7"/>
    </row>
    <row r="887" spans="1:1" ht="15.75" customHeight="1" x14ac:dyDescent="0.25">
      <c r="A887" s="7"/>
    </row>
    <row r="888" spans="1:1" ht="15.75" customHeight="1" x14ac:dyDescent="0.25">
      <c r="A888" s="7"/>
    </row>
    <row r="889" spans="1:1" ht="15.75" customHeight="1" x14ac:dyDescent="0.25">
      <c r="A889" s="7"/>
    </row>
    <row r="890" spans="1:1" ht="15.75" customHeight="1" x14ac:dyDescent="0.25">
      <c r="A890" s="7"/>
    </row>
    <row r="891" spans="1:1" ht="15.75" customHeight="1" x14ac:dyDescent="0.25">
      <c r="A891" s="7"/>
    </row>
    <row r="892" spans="1:1" ht="15.75" customHeight="1" x14ac:dyDescent="0.25">
      <c r="A892" s="7"/>
    </row>
    <row r="893" spans="1:1" ht="15.75" customHeight="1" x14ac:dyDescent="0.25">
      <c r="A893" s="7"/>
    </row>
    <row r="894" spans="1:1" ht="15.75" customHeight="1" x14ac:dyDescent="0.25">
      <c r="A894" s="7"/>
    </row>
    <row r="895" spans="1:1" ht="15.75" customHeight="1" x14ac:dyDescent="0.25">
      <c r="A895" s="7"/>
    </row>
    <row r="896" spans="1:1" ht="15.75" customHeight="1" x14ac:dyDescent="0.25">
      <c r="A896" s="7"/>
    </row>
    <row r="897" spans="1:1" ht="15.75" customHeight="1" x14ac:dyDescent="0.25">
      <c r="A897" s="7"/>
    </row>
    <row r="898" spans="1:1" ht="15.75" customHeight="1" x14ac:dyDescent="0.25">
      <c r="A898" s="7"/>
    </row>
    <row r="899" spans="1:1" ht="15.75" customHeight="1" x14ac:dyDescent="0.25">
      <c r="A899" s="7"/>
    </row>
    <row r="900" spans="1:1" ht="15.75" customHeight="1" x14ac:dyDescent="0.25">
      <c r="A900" s="7"/>
    </row>
    <row r="901" spans="1:1" ht="15.75" customHeight="1" x14ac:dyDescent="0.25">
      <c r="A901" s="7"/>
    </row>
    <row r="902" spans="1:1" ht="15.75" customHeight="1" x14ac:dyDescent="0.25">
      <c r="A902" s="7"/>
    </row>
    <row r="903" spans="1:1" ht="15.75" customHeight="1" x14ac:dyDescent="0.25">
      <c r="A903" s="7"/>
    </row>
    <row r="904" spans="1:1" ht="15.75" customHeight="1" x14ac:dyDescent="0.25">
      <c r="A904" s="7"/>
    </row>
    <row r="905" spans="1:1" ht="15.75" customHeight="1" x14ac:dyDescent="0.25">
      <c r="A905" s="7"/>
    </row>
    <row r="906" spans="1:1" ht="15.75" customHeight="1" x14ac:dyDescent="0.25">
      <c r="A906" s="7"/>
    </row>
    <row r="907" spans="1:1" ht="15.75" customHeight="1" x14ac:dyDescent="0.25">
      <c r="A907" s="7"/>
    </row>
    <row r="908" spans="1:1" ht="15.75" customHeight="1" x14ac:dyDescent="0.25">
      <c r="A908" s="7"/>
    </row>
    <row r="909" spans="1:1" ht="15.75" customHeight="1" x14ac:dyDescent="0.25">
      <c r="A909" s="7"/>
    </row>
    <row r="910" spans="1:1" ht="15.75" customHeight="1" x14ac:dyDescent="0.25">
      <c r="A910" s="7"/>
    </row>
    <row r="911" spans="1:1" ht="15.75" customHeight="1" x14ac:dyDescent="0.25">
      <c r="A911" s="7"/>
    </row>
    <row r="912" spans="1:1" ht="15.75" customHeight="1" x14ac:dyDescent="0.25">
      <c r="A912" s="7"/>
    </row>
    <row r="913" spans="1:1" ht="15.75" customHeight="1" x14ac:dyDescent="0.25">
      <c r="A913" s="7"/>
    </row>
    <row r="914" spans="1:1" ht="15.75" customHeight="1" x14ac:dyDescent="0.25">
      <c r="A914" s="7"/>
    </row>
    <row r="915" spans="1:1" ht="15.75" customHeight="1" x14ac:dyDescent="0.25">
      <c r="A915" s="7"/>
    </row>
    <row r="916" spans="1:1" ht="15.75" customHeight="1" x14ac:dyDescent="0.25">
      <c r="A916" s="7"/>
    </row>
    <row r="917" spans="1:1" ht="15.75" customHeight="1" x14ac:dyDescent="0.25">
      <c r="A917" s="7"/>
    </row>
    <row r="918" spans="1:1" ht="15.75" customHeight="1" x14ac:dyDescent="0.25">
      <c r="A918" s="7"/>
    </row>
    <row r="919" spans="1:1" ht="15.75" customHeight="1" x14ac:dyDescent="0.25">
      <c r="A919" s="7"/>
    </row>
    <row r="920" spans="1:1" ht="15.75" customHeight="1" x14ac:dyDescent="0.25">
      <c r="A920" s="7"/>
    </row>
    <row r="921" spans="1:1" ht="15.75" customHeight="1" x14ac:dyDescent="0.25">
      <c r="A921" s="7"/>
    </row>
    <row r="922" spans="1:1" ht="15.75" customHeight="1" x14ac:dyDescent="0.25">
      <c r="A922" s="7"/>
    </row>
    <row r="923" spans="1:1" ht="15.75" customHeight="1" x14ac:dyDescent="0.25">
      <c r="A923" s="7"/>
    </row>
    <row r="924" spans="1:1" ht="15.75" customHeight="1" x14ac:dyDescent="0.25">
      <c r="A924" s="7"/>
    </row>
    <row r="925" spans="1:1" ht="15.75" customHeight="1" x14ac:dyDescent="0.25">
      <c r="A925" s="7"/>
    </row>
    <row r="926" spans="1:1" ht="15.75" customHeight="1" x14ac:dyDescent="0.25">
      <c r="A926" s="7"/>
    </row>
    <row r="927" spans="1:1" ht="15.75" customHeight="1" x14ac:dyDescent="0.25">
      <c r="A927" s="7"/>
    </row>
    <row r="928" spans="1:1" ht="15.75" customHeight="1" x14ac:dyDescent="0.25">
      <c r="A928" s="7"/>
    </row>
    <row r="929" spans="1:1" ht="15.75" customHeight="1" x14ac:dyDescent="0.25">
      <c r="A929" s="7"/>
    </row>
    <row r="930" spans="1:1" ht="15.75" customHeight="1" x14ac:dyDescent="0.25">
      <c r="A930" s="7"/>
    </row>
    <row r="931" spans="1:1" ht="15.75" customHeight="1" x14ac:dyDescent="0.25">
      <c r="A931" s="7"/>
    </row>
    <row r="932" spans="1:1" ht="15.75" customHeight="1" x14ac:dyDescent="0.25">
      <c r="A932" s="7"/>
    </row>
    <row r="933" spans="1:1" ht="15.75" customHeight="1" x14ac:dyDescent="0.25">
      <c r="A933" s="7"/>
    </row>
    <row r="934" spans="1:1" ht="15.75" customHeight="1" x14ac:dyDescent="0.25">
      <c r="A934" s="7"/>
    </row>
    <row r="935" spans="1:1" ht="15.75" customHeight="1" x14ac:dyDescent="0.25">
      <c r="A935" s="7"/>
    </row>
    <row r="936" spans="1:1" ht="15.75" customHeight="1" x14ac:dyDescent="0.25">
      <c r="A936" s="7"/>
    </row>
    <row r="937" spans="1:1" ht="15.75" customHeight="1" x14ac:dyDescent="0.25">
      <c r="A937" s="7"/>
    </row>
    <row r="938" spans="1:1" ht="15.75" customHeight="1" x14ac:dyDescent="0.25">
      <c r="A938" s="7"/>
    </row>
    <row r="939" spans="1:1" ht="15.75" customHeight="1" x14ac:dyDescent="0.25">
      <c r="A939" s="7"/>
    </row>
    <row r="940" spans="1:1" ht="15.75" customHeight="1" x14ac:dyDescent="0.25">
      <c r="A940" s="7"/>
    </row>
    <row r="941" spans="1:1" ht="15.75" customHeight="1" x14ac:dyDescent="0.25">
      <c r="A941" s="7"/>
    </row>
    <row r="942" spans="1:1" ht="15.75" customHeight="1" x14ac:dyDescent="0.25">
      <c r="A942" s="7"/>
    </row>
    <row r="943" spans="1:1" ht="15.75" customHeight="1" x14ac:dyDescent="0.25">
      <c r="A943" s="7"/>
    </row>
    <row r="944" spans="1:1" ht="15.75" customHeight="1" x14ac:dyDescent="0.25">
      <c r="A944" s="7"/>
    </row>
    <row r="945" spans="1:1" ht="15.75" customHeight="1" x14ac:dyDescent="0.25">
      <c r="A945" s="7"/>
    </row>
    <row r="946" spans="1:1" ht="15.75" customHeight="1" x14ac:dyDescent="0.25">
      <c r="A946" s="7"/>
    </row>
    <row r="947" spans="1:1" ht="15.75" customHeight="1" x14ac:dyDescent="0.25">
      <c r="A947" s="7"/>
    </row>
    <row r="948" spans="1:1" ht="15.75" customHeight="1" x14ac:dyDescent="0.25">
      <c r="A948" s="7"/>
    </row>
    <row r="949" spans="1:1" ht="15.75" customHeight="1" x14ac:dyDescent="0.25">
      <c r="A949" s="7"/>
    </row>
    <row r="950" spans="1:1" ht="15.75" customHeight="1" x14ac:dyDescent="0.25">
      <c r="A950" s="7"/>
    </row>
    <row r="951" spans="1:1" ht="15.75" customHeight="1" x14ac:dyDescent="0.25">
      <c r="A951" s="7"/>
    </row>
    <row r="952" spans="1:1" ht="15.75" customHeight="1" x14ac:dyDescent="0.25">
      <c r="A952" s="7"/>
    </row>
    <row r="953" spans="1:1" ht="15.75" customHeight="1" x14ac:dyDescent="0.25">
      <c r="A953" s="7"/>
    </row>
    <row r="954" spans="1:1" ht="15.75" customHeight="1" x14ac:dyDescent="0.25">
      <c r="A954" s="7"/>
    </row>
    <row r="955" spans="1:1" ht="15.75" customHeight="1" x14ac:dyDescent="0.25">
      <c r="A955" s="7"/>
    </row>
    <row r="956" spans="1:1" ht="15.75" customHeight="1" x14ac:dyDescent="0.25">
      <c r="A956" s="7"/>
    </row>
    <row r="957" spans="1:1" ht="15.75" customHeight="1" x14ac:dyDescent="0.25">
      <c r="A957" s="7"/>
    </row>
    <row r="958" spans="1:1" ht="15.75" customHeight="1" x14ac:dyDescent="0.25">
      <c r="A958" s="7"/>
    </row>
    <row r="959" spans="1:1" ht="15.75" customHeight="1" x14ac:dyDescent="0.25">
      <c r="A959" s="7"/>
    </row>
    <row r="960" spans="1:1" ht="15.75" customHeight="1" x14ac:dyDescent="0.25">
      <c r="A960" s="7"/>
    </row>
    <row r="961" spans="1:1" ht="15.75" customHeight="1" x14ac:dyDescent="0.25">
      <c r="A961" s="7"/>
    </row>
    <row r="962" spans="1:1" ht="15.75" customHeight="1" x14ac:dyDescent="0.25">
      <c r="A962" s="7"/>
    </row>
    <row r="963" spans="1:1" ht="15.75" customHeight="1" x14ac:dyDescent="0.25">
      <c r="A963" s="7"/>
    </row>
    <row r="964" spans="1:1" ht="15.75" customHeight="1" x14ac:dyDescent="0.25">
      <c r="A964" s="7"/>
    </row>
    <row r="965" spans="1:1" ht="15.75" customHeight="1" x14ac:dyDescent="0.25">
      <c r="A965" s="7"/>
    </row>
    <row r="966" spans="1:1" ht="15.75" customHeight="1" x14ac:dyDescent="0.25">
      <c r="A966" s="7"/>
    </row>
    <row r="967" spans="1:1" ht="15.75" customHeight="1" x14ac:dyDescent="0.25">
      <c r="A967" s="7"/>
    </row>
    <row r="968" spans="1:1" ht="15.75" customHeight="1" x14ac:dyDescent="0.25">
      <c r="A968" s="7"/>
    </row>
    <row r="969" spans="1:1" ht="15.75" customHeight="1" x14ac:dyDescent="0.25">
      <c r="A969" s="7"/>
    </row>
    <row r="970" spans="1:1" ht="15.75" customHeight="1" x14ac:dyDescent="0.25">
      <c r="A970" s="7"/>
    </row>
    <row r="971" spans="1:1" ht="15.75" customHeight="1" x14ac:dyDescent="0.25">
      <c r="A971" s="7"/>
    </row>
    <row r="972" spans="1:1" ht="15.75" customHeight="1" x14ac:dyDescent="0.25">
      <c r="A972" s="7"/>
    </row>
    <row r="973" spans="1:1" ht="15.75" customHeight="1" x14ac:dyDescent="0.25">
      <c r="A973" s="7"/>
    </row>
    <row r="974" spans="1:1" ht="15.75" customHeight="1" x14ac:dyDescent="0.25">
      <c r="A974" s="7"/>
    </row>
    <row r="975" spans="1:1" ht="15.75" customHeight="1" x14ac:dyDescent="0.25">
      <c r="A975" s="7"/>
    </row>
    <row r="976" spans="1:1" ht="15.75" customHeight="1" x14ac:dyDescent="0.25">
      <c r="A976" s="7"/>
    </row>
    <row r="977" spans="1:1" ht="15.75" customHeight="1" x14ac:dyDescent="0.25">
      <c r="A977" s="7"/>
    </row>
    <row r="978" spans="1:1" ht="15.75" customHeight="1" x14ac:dyDescent="0.25">
      <c r="A978" s="7"/>
    </row>
    <row r="979" spans="1:1" ht="15.75" customHeight="1" x14ac:dyDescent="0.25">
      <c r="A979" s="7"/>
    </row>
    <row r="980" spans="1:1" ht="15.75" customHeight="1" x14ac:dyDescent="0.25">
      <c r="A980" s="7"/>
    </row>
    <row r="981" spans="1:1" ht="15.75" customHeight="1" x14ac:dyDescent="0.25">
      <c r="A981" s="7"/>
    </row>
    <row r="982" spans="1:1" ht="15.75" customHeight="1" x14ac:dyDescent="0.25">
      <c r="A982" s="7"/>
    </row>
    <row r="983" spans="1:1" ht="15.75" customHeight="1" x14ac:dyDescent="0.25">
      <c r="A983" s="7"/>
    </row>
    <row r="984" spans="1:1" ht="15.75" customHeight="1" x14ac:dyDescent="0.25">
      <c r="A984" s="7"/>
    </row>
    <row r="985" spans="1:1" ht="15.75" customHeight="1" x14ac:dyDescent="0.25">
      <c r="A985" s="7"/>
    </row>
    <row r="986" spans="1:1" ht="15.75" customHeight="1" x14ac:dyDescent="0.25">
      <c r="A986" s="7"/>
    </row>
    <row r="987" spans="1:1" ht="15.75" customHeight="1" x14ac:dyDescent="0.25">
      <c r="A987" s="7"/>
    </row>
    <row r="988" spans="1:1" ht="15.75" customHeight="1" x14ac:dyDescent="0.25">
      <c r="A988" s="7"/>
    </row>
    <row r="989" spans="1:1" ht="15.75" customHeight="1" x14ac:dyDescent="0.25">
      <c r="A989" s="7"/>
    </row>
    <row r="990" spans="1:1" ht="15.75" customHeight="1" x14ac:dyDescent="0.25">
      <c r="A990" s="7"/>
    </row>
    <row r="991" spans="1:1" ht="15.75" customHeight="1" x14ac:dyDescent="0.25">
      <c r="A991" s="7"/>
    </row>
    <row r="992" spans="1:1" ht="15.75" customHeight="1" x14ac:dyDescent="0.25">
      <c r="A992" s="7"/>
    </row>
    <row r="993" spans="1:1" ht="15.75" customHeight="1" x14ac:dyDescent="0.25">
      <c r="A993" s="7"/>
    </row>
    <row r="994" spans="1:1" ht="15.75" customHeight="1" x14ac:dyDescent="0.25">
      <c r="A994" s="7"/>
    </row>
    <row r="995" spans="1:1" ht="15.75" customHeight="1" x14ac:dyDescent="0.25">
      <c r="A995" s="7"/>
    </row>
    <row r="996" spans="1:1" ht="15.75" customHeight="1" x14ac:dyDescent="0.25">
      <c r="A996" s="7"/>
    </row>
    <row r="997" spans="1:1" ht="15.75" customHeight="1" x14ac:dyDescent="0.25">
      <c r="A997" s="7"/>
    </row>
    <row r="998" spans="1:1" ht="15.75" customHeight="1" x14ac:dyDescent="0.25">
      <c r="A998" s="7"/>
    </row>
    <row r="999" spans="1:1" ht="15.75" customHeight="1" x14ac:dyDescent="0.25">
      <c r="A999" s="7"/>
    </row>
    <row r="1000" spans="1:1" ht="15.75" customHeight="1" x14ac:dyDescent="0.25">
      <c r="A1000" s="7"/>
    </row>
  </sheetData>
  <sheetProtection algorithmName="SHA-512" hashValue="2wj6u5CQDdHrNWreJ05UUvK6t6gfbNqcEN4Qm9ASdoNJIEhng/ChrgiKCpaiwdt+a4YT9RE9s9tGPBfx5+dCQA==" saltValue="K3SI6BSO8NpMg0NVf2dj8A==" spinCount="100000" sheet="1" objects="1" scenarios="1"/>
  <mergeCells count="6">
    <mergeCell ref="B132:H132"/>
    <mergeCell ref="B1:H1"/>
    <mergeCell ref="B27:H27"/>
    <mergeCell ref="B54:H54"/>
    <mergeCell ref="B72:H72"/>
    <mergeCell ref="B109:H109"/>
  </mergeCells>
  <pageMargins left="0.7" right="0.7" top="0.75" bottom="0.75" header="0" footer="0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00"/>
  <sheetViews>
    <sheetView topLeftCell="A49" zoomScale="70" zoomScaleNormal="70" workbookViewId="0">
      <selection activeCell="G73" sqref="G73"/>
    </sheetView>
  </sheetViews>
  <sheetFormatPr defaultColWidth="14.42578125" defaultRowHeight="15" customHeight="1" x14ac:dyDescent="0.25"/>
  <cols>
    <col min="1" max="1" width="9.140625" style="42" customWidth="1"/>
    <col min="2" max="2" width="45.7109375" style="42" customWidth="1"/>
    <col min="3" max="3" width="8.85546875" style="42" customWidth="1"/>
    <col min="4" max="4" width="8.140625" style="42" customWidth="1"/>
    <col min="5" max="7" width="8.7109375" style="42" customWidth="1"/>
    <col min="8" max="8" width="13.140625" style="42" customWidth="1"/>
    <col min="9" max="10" width="8.7109375" style="42" customWidth="1"/>
    <col min="11" max="11" width="39.28515625" style="42" customWidth="1"/>
    <col min="12" max="26" width="8.7109375" style="42" customWidth="1"/>
    <col min="27" max="16384" width="14.42578125" style="42"/>
  </cols>
  <sheetData>
    <row r="1" spans="1:16" ht="18.75" x14ac:dyDescent="0.3">
      <c r="A1" s="1"/>
      <c r="B1" s="173" t="s">
        <v>2</v>
      </c>
      <c r="C1" s="174"/>
      <c r="D1" s="174"/>
      <c r="E1" s="174"/>
      <c r="F1" s="174"/>
      <c r="G1" s="174"/>
      <c r="H1" s="134"/>
      <c r="I1" s="1"/>
    </row>
    <row r="2" spans="1:16" ht="15.75" thickBot="1" x14ac:dyDescent="0.3">
      <c r="A2" s="1"/>
      <c r="B2" s="8" t="s">
        <v>8</v>
      </c>
      <c r="C2" s="8" t="s">
        <v>11</v>
      </c>
      <c r="D2" s="9" t="e">
        <f>VLOOKUP(B2,'Nutrition Plan'!$D$48:$F$58,3,0)</f>
        <v>#N/A</v>
      </c>
      <c r="E2" s="10" t="e">
        <f>D2/(1/10)</f>
        <v>#N/A</v>
      </c>
      <c r="F2" s="11" t="e">
        <f>D2/(1/0.2)</f>
        <v>#N/A</v>
      </c>
      <c r="G2" s="10" t="e">
        <f>D2/(1/50)</f>
        <v>#N/A</v>
      </c>
      <c r="H2" s="12" t="e">
        <f t="shared" ref="H2:H26" si="0">(E2*4)+(F2*9)+(G2*4)</f>
        <v>#N/A</v>
      </c>
      <c r="I2" s="1"/>
    </row>
    <row r="3" spans="1:16" ht="16.5" thickTop="1" thickBot="1" x14ac:dyDescent="0.3">
      <c r="A3" s="1"/>
      <c r="B3" s="8" t="s">
        <v>21</v>
      </c>
      <c r="C3" s="8" t="s">
        <v>22</v>
      </c>
      <c r="D3" s="9" t="e">
        <f>VLOOKUP(B3,'Nutrition Plan'!$D$48:$F$58,3,0)</f>
        <v>#N/A</v>
      </c>
      <c r="E3" s="10" t="e">
        <f>D3/(1/4)</f>
        <v>#N/A</v>
      </c>
      <c r="F3" s="11" t="e">
        <f>D3/(1/0.5)</f>
        <v>#N/A</v>
      </c>
      <c r="G3" s="10" t="e">
        <f>D3/(1/15)</f>
        <v>#N/A</v>
      </c>
      <c r="H3" s="12" t="e">
        <f t="shared" si="0"/>
        <v>#N/A</v>
      </c>
      <c r="I3" s="1"/>
      <c r="K3" s="7" t="s">
        <v>168</v>
      </c>
      <c r="M3" s="42">
        <v>1.5</v>
      </c>
      <c r="N3" s="42">
        <v>0.3</v>
      </c>
      <c r="O3" s="42">
        <v>5</v>
      </c>
      <c r="P3" s="42">
        <v>1</v>
      </c>
    </row>
    <row r="4" spans="1:16" ht="16.5" thickTop="1" thickBot="1" x14ac:dyDescent="0.3">
      <c r="A4" s="1"/>
      <c r="B4" s="8" t="s">
        <v>25</v>
      </c>
      <c r="C4" s="8" t="s">
        <v>7</v>
      </c>
      <c r="D4" s="9" t="e">
        <f>VLOOKUP(B4,'Nutrition Plan'!$D$48:$F$58,3,0)</f>
        <v>#N/A</v>
      </c>
      <c r="E4" s="10" t="e">
        <f>D4/(28/3)</f>
        <v>#N/A</v>
      </c>
      <c r="F4" s="11" t="e">
        <f>D4/(28/2)</f>
        <v>#N/A</v>
      </c>
      <c r="G4" s="10" t="e">
        <f>D4/(28/20)</f>
        <v>#N/A</v>
      </c>
      <c r="H4" s="12" t="e">
        <f t="shared" si="0"/>
        <v>#N/A</v>
      </c>
      <c r="I4" s="1"/>
      <c r="K4" s="7" t="s">
        <v>26</v>
      </c>
      <c r="M4" s="42">
        <v>1.6</v>
      </c>
      <c r="N4" s="42">
        <v>0.31</v>
      </c>
      <c r="O4" s="42">
        <v>8</v>
      </c>
      <c r="P4" s="42">
        <v>2</v>
      </c>
    </row>
    <row r="5" spans="1:16" ht="16.5" thickTop="1" thickBot="1" x14ac:dyDescent="0.3">
      <c r="A5" s="1"/>
      <c r="B5" s="8" t="s">
        <v>27</v>
      </c>
      <c r="C5" s="8" t="s">
        <v>7</v>
      </c>
      <c r="D5" s="9" t="e">
        <f>VLOOKUP(B5,'Nutrition Plan'!$D$48:$F$58,3,0)</f>
        <v>#N/A</v>
      </c>
      <c r="E5" s="10" t="e">
        <f>D5/(57/8)</f>
        <v>#N/A</v>
      </c>
      <c r="F5" s="11">
        <v>0</v>
      </c>
      <c r="G5" s="10" t="e">
        <f>D5/(57/40)</f>
        <v>#N/A</v>
      </c>
      <c r="H5" s="12" t="e">
        <f t="shared" si="0"/>
        <v>#N/A</v>
      </c>
      <c r="I5" s="1"/>
      <c r="K5" s="7" t="s">
        <v>169</v>
      </c>
      <c r="M5" s="42">
        <v>1.7</v>
      </c>
      <c r="N5" s="42">
        <v>0.32</v>
      </c>
      <c r="O5" s="42">
        <v>10</v>
      </c>
      <c r="P5" s="42">
        <v>3</v>
      </c>
    </row>
    <row r="6" spans="1:16" ht="16.5" thickTop="1" thickBot="1" x14ac:dyDescent="0.3">
      <c r="A6" s="1"/>
      <c r="B6" s="8" t="s">
        <v>28</v>
      </c>
      <c r="C6" s="8" t="s">
        <v>7</v>
      </c>
      <c r="D6" s="9" t="e">
        <f>VLOOKUP(B6,'Nutrition Plan'!$D$48:$F$58,3,0)</f>
        <v>#N/A</v>
      </c>
      <c r="E6" s="10" t="e">
        <f>D6/(14/1)</f>
        <v>#N/A</v>
      </c>
      <c r="F6" s="11">
        <f>0</f>
        <v>0</v>
      </c>
      <c r="G6" s="10" t="e">
        <f>D6/(14/12)</f>
        <v>#N/A</v>
      </c>
      <c r="H6" s="12" t="e">
        <f t="shared" si="0"/>
        <v>#N/A</v>
      </c>
      <c r="I6" s="1"/>
      <c r="K6" s="7" t="s">
        <v>33</v>
      </c>
      <c r="M6" s="42">
        <v>1.8</v>
      </c>
      <c r="N6" s="42">
        <v>0.33</v>
      </c>
      <c r="O6" s="42">
        <v>12</v>
      </c>
      <c r="P6" s="42">
        <v>4</v>
      </c>
    </row>
    <row r="7" spans="1:16" ht="16.5" thickTop="1" thickBot="1" x14ac:dyDescent="0.3">
      <c r="A7" s="1"/>
      <c r="B7" s="8" t="s">
        <v>34</v>
      </c>
      <c r="C7" s="8" t="s">
        <v>7</v>
      </c>
      <c r="D7" s="9" t="e">
        <f>VLOOKUP(B7,'Nutrition Plan'!$D$48:$F$58,3,0)</f>
        <v>#N/A</v>
      </c>
      <c r="E7" s="10" t="e">
        <f>D7/(30/2)</f>
        <v>#N/A</v>
      </c>
      <c r="F7" s="11" t="e">
        <f>D7/(30/1)</f>
        <v>#N/A</v>
      </c>
      <c r="G7" s="10" t="e">
        <f>D7/(30/11)</f>
        <v>#N/A</v>
      </c>
      <c r="H7" s="12" t="e">
        <f t="shared" si="0"/>
        <v>#N/A</v>
      </c>
      <c r="I7" s="1"/>
      <c r="K7" s="7" t="s">
        <v>36</v>
      </c>
      <c r="M7" s="42">
        <v>1.9</v>
      </c>
      <c r="N7" s="42">
        <v>0.34</v>
      </c>
      <c r="O7" s="42">
        <v>15</v>
      </c>
      <c r="P7" s="42">
        <v>5</v>
      </c>
    </row>
    <row r="8" spans="1:16" ht="16.5" thickTop="1" thickBot="1" x14ac:dyDescent="0.3">
      <c r="A8" s="1"/>
      <c r="B8" s="8" t="s">
        <v>170</v>
      </c>
      <c r="C8" s="8" t="s">
        <v>7</v>
      </c>
      <c r="D8" s="9" t="e">
        <f>VLOOKUP(B8,'Nutrition Plan'!$D$48:$F$58,3,0)</f>
        <v>#N/A</v>
      </c>
      <c r="E8" s="10" t="e">
        <f>D8/(100/2)</f>
        <v>#N/A</v>
      </c>
      <c r="F8" s="11">
        <f>0</f>
        <v>0</v>
      </c>
      <c r="G8" s="10" t="e">
        <f>D8/(100/82.4)</f>
        <v>#N/A</v>
      </c>
      <c r="H8" s="12" t="e">
        <f t="shared" si="0"/>
        <v>#N/A</v>
      </c>
      <c r="I8" s="1"/>
      <c r="K8" s="7" t="s">
        <v>37</v>
      </c>
      <c r="M8" s="42">
        <v>2</v>
      </c>
      <c r="N8" s="42">
        <v>0.35</v>
      </c>
      <c r="P8" s="42">
        <v>6</v>
      </c>
    </row>
    <row r="9" spans="1:16" ht="16.5" thickTop="1" thickBot="1" x14ac:dyDescent="0.3">
      <c r="A9" s="1"/>
      <c r="B9" s="8" t="s">
        <v>171</v>
      </c>
      <c r="C9" s="8" t="s">
        <v>7</v>
      </c>
      <c r="D9" s="9" t="e">
        <f>VLOOKUP(B9,'Nutrition Plan'!$D$48:$F$58,3,0)</f>
        <v>#N/A</v>
      </c>
      <c r="E9" s="10">
        <v>0</v>
      </c>
      <c r="F9" s="11">
        <v>0</v>
      </c>
      <c r="G9" s="10" t="e">
        <f>D9/(28/4)</f>
        <v>#N/A</v>
      </c>
      <c r="H9" s="12" t="e">
        <f t="shared" si="0"/>
        <v>#N/A</v>
      </c>
      <c r="I9" s="1"/>
      <c r="M9" s="42">
        <v>2.1</v>
      </c>
      <c r="N9" s="42">
        <v>0.36</v>
      </c>
      <c r="P9" s="42">
        <v>7</v>
      </c>
    </row>
    <row r="10" spans="1:16" ht="16.5" thickTop="1" thickBot="1" x14ac:dyDescent="0.3">
      <c r="A10" s="1"/>
      <c r="B10" s="8" t="s">
        <v>172</v>
      </c>
      <c r="C10" s="8" t="s">
        <v>7</v>
      </c>
      <c r="D10" s="9" t="e">
        <f>VLOOKUP(B10,'Nutrition Plan'!$D$48:$F$58,3,0)</f>
        <v>#N/A</v>
      </c>
      <c r="E10" s="10" t="e">
        <f>D10/(45/7)</f>
        <v>#N/A</v>
      </c>
      <c r="F10" s="11" t="e">
        <f>D10/(45/3)</f>
        <v>#N/A</v>
      </c>
      <c r="G10" s="10" t="e">
        <f>D10/(45/30)</f>
        <v>#N/A</v>
      </c>
      <c r="H10" s="12" t="e">
        <f t="shared" si="0"/>
        <v>#N/A</v>
      </c>
      <c r="I10" s="1"/>
      <c r="M10" s="42">
        <v>2.2000000000000002</v>
      </c>
      <c r="N10" s="42">
        <v>0.37</v>
      </c>
    </row>
    <row r="11" spans="1:16" ht="16.5" thickTop="1" thickBot="1" x14ac:dyDescent="0.3">
      <c r="A11" s="1"/>
      <c r="B11" s="8" t="s">
        <v>38</v>
      </c>
      <c r="C11" s="8" t="s">
        <v>7</v>
      </c>
      <c r="D11" s="9" t="e">
        <f>VLOOKUP(B11,'Nutrition Plan'!$D$48:$F$58,3,0)</f>
        <v>#N/A</v>
      </c>
      <c r="E11" s="10" t="e">
        <f t="shared" ref="E11:E12" si="1">D11/(40/5)</f>
        <v>#N/A</v>
      </c>
      <c r="F11" s="11" t="e">
        <f>D11/(40/3)</f>
        <v>#N/A</v>
      </c>
      <c r="G11" s="10" t="e">
        <f t="shared" ref="G11:G12" si="2">D11/(40/27)</f>
        <v>#N/A</v>
      </c>
      <c r="H11" s="12" t="e">
        <f t="shared" si="0"/>
        <v>#N/A</v>
      </c>
      <c r="I11" s="1"/>
      <c r="M11" s="42">
        <v>2.2999999999999998</v>
      </c>
      <c r="N11" s="42">
        <v>0.38</v>
      </c>
    </row>
    <row r="12" spans="1:16" ht="16.5" thickTop="1" thickBot="1" x14ac:dyDescent="0.3">
      <c r="A12" s="1"/>
      <c r="B12" s="8" t="s">
        <v>173</v>
      </c>
      <c r="C12" s="8" t="s">
        <v>7</v>
      </c>
      <c r="D12" s="9" t="e">
        <f>VLOOKUP(B12,'Nutrition Plan'!$D$48:$F$58,3,0)</f>
        <v>#N/A</v>
      </c>
      <c r="E12" s="10" t="e">
        <f t="shared" si="1"/>
        <v>#N/A</v>
      </c>
      <c r="F12" s="11" t="e">
        <f>D12/(40/2.5)</f>
        <v>#N/A</v>
      </c>
      <c r="G12" s="10" t="e">
        <f t="shared" si="2"/>
        <v>#N/A</v>
      </c>
      <c r="H12" s="12" t="e">
        <f t="shared" si="0"/>
        <v>#N/A</v>
      </c>
      <c r="I12" s="1"/>
      <c r="M12" s="42">
        <v>2.4</v>
      </c>
      <c r="N12" s="42">
        <v>0.39</v>
      </c>
    </row>
    <row r="13" spans="1:16" ht="16.5" thickTop="1" thickBot="1" x14ac:dyDescent="0.3">
      <c r="A13" s="1"/>
      <c r="B13" s="8" t="s">
        <v>41</v>
      </c>
      <c r="C13" s="8" t="s">
        <v>7</v>
      </c>
      <c r="D13" s="9" t="e">
        <f>VLOOKUP(B13,'Nutrition Plan'!$D$48:$F$58,3,0)</f>
        <v>#N/A</v>
      </c>
      <c r="E13" s="10" t="e">
        <f>D13/(47/4)</f>
        <v>#N/A</v>
      </c>
      <c r="F13" s="11" t="e">
        <f>D13/(47/0.5)</f>
        <v>#N/A</v>
      </c>
      <c r="G13" s="10" t="e">
        <f>D13/(47/33)</f>
        <v>#N/A</v>
      </c>
      <c r="H13" s="12" t="e">
        <f t="shared" si="0"/>
        <v>#N/A</v>
      </c>
      <c r="I13" s="1"/>
      <c r="M13" s="42">
        <v>2.5</v>
      </c>
      <c r="N13" s="42">
        <v>0.4</v>
      </c>
    </row>
    <row r="14" spans="1:16" ht="16.5" thickTop="1" thickBot="1" x14ac:dyDescent="0.3">
      <c r="A14" s="1"/>
      <c r="B14" s="8" t="s">
        <v>42</v>
      </c>
      <c r="C14" s="8" t="s">
        <v>7</v>
      </c>
      <c r="D14" s="9" t="e">
        <f>VLOOKUP(B14,'Nutrition Plan'!$D$48:$F$58,3,0)</f>
        <v>#N/A</v>
      </c>
      <c r="E14" s="10" t="e">
        <f>D14/(38/4)</f>
        <v>#N/A</v>
      </c>
      <c r="F14" s="11" t="e">
        <f>D14/(38/0.5)</f>
        <v>#N/A</v>
      </c>
      <c r="G14" s="10" t="e">
        <f>D14/(38/26)</f>
        <v>#N/A</v>
      </c>
      <c r="H14" s="12" t="e">
        <f t="shared" si="0"/>
        <v>#N/A</v>
      </c>
      <c r="I14" s="1"/>
      <c r="N14" s="42">
        <v>0.41</v>
      </c>
    </row>
    <row r="15" spans="1:16" ht="16.5" thickTop="1" thickBot="1" x14ac:dyDescent="0.3">
      <c r="A15" s="1"/>
      <c r="B15" s="8" t="s">
        <v>43</v>
      </c>
      <c r="C15" s="8" t="s">
        <v>7</v>
      </c>
      <c r="D15" s="9" t="e">
        <f>VLOOKUP(B15,'Nutrition Plan'!$D$48:$F$58,3,0)</f>
        <v>#N/A</v>
      </c>
      <c r="E15" s="10" t="e">
        <f>D15/(42/1)</f>
        <v>#N/A</v>
      </c>
      <c r="F15" s="11" t="e">
        <f>D15/(42/0.5)</f>
        <v>#N/A</v>
      </c>
      <c r="G15" s="10" t="e">
        <f>D15/(42/32)</f>
        <v>#N/A</v>
      </c>
      <c r="H15" s="12" t="e">
        <f t="shared" si="0"/>
        <v>#N/A</v>
      </c>
      <c r="I15" s="1"/>
      <c r="N15" s="42">
        <v>0.42</v>
      </c>
    </row>
    <row r="16" spans="1:16" ht="16.5" thickTop="1" thickBot="1" x14ac:dyDescent="0.3">
      <c r="A16" s="1"/>
      <c r="B16" s="8" t="s">
        <v>174</v>
      </c>
      <c r="C16" s="8" t="s">
        <v>7</v>
      </c>
      <c r="D16" s="9" t="e">
        <f>VLOOKUP(B16,'Nutrition Plan'!$D$48:$F$58,3,0)</f>
        <v>#N/A</v>
      </c>
      <c r="E16" s="10" t="e">
        <f>D16/(28/1.5)</f>
        <v>#N/A</v>
      </c>
      <c r="F16" s="11" t="e">
        <f>D16/(28/0.15)</f>
        <v>#N/A</v>
      </c>
      <c r="G16" s="10" t="e">
        <f>D16/(28/7.45)</f>
        <v>#N/A</v>
      </c>
      <c r="H16" s="12" t="e">
        <f t="shared" si="0"/>
        <v>#N/A</v>
      </c>
      <c r="I16" s="1"/>
      <c r="N16" s="42">
        <v>0.43</v>
      </c>
    </row>
    <row r="17" spans="1:14" ht="16.5" thickTop="1" thickBot="1" x14ac:dyDescent="0.3">
      <c r="A17" s="1"/>
      <c r="B17" s="8" t="s">
        <v>44</v>
      </c>
      <c r="C17" s="8" t="s">
        <v>45</v>
      </c>
      <c r="D17" s="9" t="e">
        <f>VLOOKUP(B17,'Nutrition Plan'!$D$48:$F$58,3,0)</f>
        <v>#N/A</v>
      </c>
      <c r="E17" s="10" t="e">
        <f>D17/(1/1)</f>
        <v>#N/A</v>
      </c>
      <c r="F17" s="11">
        <f>0</f>
        <v>0</v>
      </c>
      <c r="G17" s="10" t="e">
        <f>D17/(1/8)</f>
        <v>#N/A</v>
      </c>
      <c r="H17" s="12" t="e">
        <f t="shared" si="0"/>
        <v>#N/A</v>
      </c>
      <c r="I17" s="1"/>
      <c r="N17" s="42">
        <v>0.44</v>
      </c>
    </row>
    <row r="18" spans="1:14" ht="16.5" thickTop="1" thickBot="1" x14ac:dyDescent="0.3">
      <c r="A18" s="1"/>
      <c r="B18" s="8" t="s">
        <v>175</v>
      </c>
      <c r="C18" s="8" t="s">
        <v>7</v>
      </c>
      <c r="D18" s="9" t="e">
        <f>VLOOKUP(B18,'Nutrition Plan'!$D$48:$F$58,3,0)</f>
        <v>#N/A</v>
      </c>
      <c r="E18" s="10" t="e">
        <f>D18/(100/2.32)</f>
        <v>#N/A</v>
      </c>
      <c r="F18" s="11" t="e">
        <f>D18/(100/0.83)</f>
        <v>#N/A</v>
      </c>
      <c r="G18" s="10" t="e">
        <f>D18/(100/23.51)</f>
        <v>#N/A</v>
      </c>
      <c r="H18" s="12" t="e">
        <f t="shared" si="0"/>
        <v>#N/A</v>
      </c>
      <c r="I18" s="1"/>
      <c r="N18" s="42">
        <v>0.45</v>
      </c>
    </row>
    <row r="19" spans="1:14" ht="16.5" thickTop="1" thickBot="1" x14ac:dyDescent="0.3">
      <c r="A19" s="1"/>
      <c r="B19" s="8" t="s">
        <v>176</v>
      </c>
      <c r="C19" s="8" t="s">
        <v>7</v>
      </c>
      <c r="D19" s="9" t="e">
        <f>VLOOKUP(B19,'Nutrition Plan'!$D$48:$F$58,3,0)</f>
        <v>#N/A</v>
      </c>
      <c r="E19" s="10" t="e">
        <f>D19/(200/4.2)</f>
        <v>#N/A</v>
      </c>
      <c r="F19" s="11" t="e">
        <f>D19/(200/0.44)</f>
        <v>#N/A</v>
      </c>
      <c r="G19" s="10" t="e">
        <f>D19/(200/45)</f>
        <v>#N/A</v>
      </c>
      <c r="H19" s="12" t="e">
        <f t="shared" si="0"/>
        <v>#N/A</v>
      </c>
      <c r="I19" s="1"/>
      <c r="N19" s="42">
        <v>0.46</v>
      </c>
    </row>
    <row r="20" spans="1:14" ht="16.5" thickTop="1" thickBot="1" x14ac:dyDescent="0.3">
      <c r="A20" s="1"/>
      <c r="B20" s="8" t="s">
        <v>177</v>
      </c>
      <c r="C20" s="8" t="s">
        <v>7</v>
      </c>
      <c r="D20" s="9" t="e">
        <f>VLOOKUP(B20,'Nutrition Plan'!$D$48:$F$58,3,0)</f>
        <v>#N/A</v>
      </c>
      <c r="E20" s="10" t="e">
        <f>D20/(100/2.38)</f>
        <v>#N/A</v>
      </c>
      <c r="F20" s="11" t="e">
        <f>D20/(100/0.21)</f>
        <v>#N/A</v>
      </c>
      <c r="G20" s="10" t="e">
        <f>D20/(100/28.59)</f>
        <v>#N/A</v>
      </c>
      <c r="H20" s="12" t="e">
        <f t="shared" si="0"/>
        <v>#N/A</v>
      </c>
      <c r="I20" s="1"/>
      <c r="N20" s="42">
        <v>0.47</v>
      </c>
    </row>
    <row r="21" spans="1:14" ht="15.75" customHeight="1" thickTop="1" thickBot="1" x14ac:dyDescent="0.3">
      <c r="A21" s="1"/>
      <c r="B21" s="8" t="s">
        <v>178</v>
      </c>
      <c r="C21" s="8" t="s">
        <v>7</v>
      </c>
      <c r="D21" s="9" t="e">
        <f>VLOOKUP(B21,'Nutrition Plan'!$D$48:$F$58,3,0)</f>
        <v>#N/A</v>
      </c>
      <c r="E21" s="10" t="e">
        <f>D21/(100/2)</f>
        <v>#N/A</v>
      </c>
      <c r="F21" s="11">
        <v>0</v>
      </c>
      <c r="G21" s="10" t="e">
        <f>D21/(100/20)</f>
        <v>#N/A</v>
      </c>
      <c r="H21" s="12" t="e">
        <f t="shared" si="0"/>
        <v>#N/A</v>
      </c>
      <c r="I21" s="1"/>
      <c r="N21" s="42">
        <v>0.48</v>
      </c>
    </row>
    <row r="22" spans="1:14" ht="15.75" customHeight="1" thickTop="1" thickBot="1" x14ac:dyDescent="0.3">
      <c r="A22" s="1"/>
      <c r="B22" s="8" t="s">
        <v>48</v>
      </c>
      <c r="C22" s="8" t="s">
        <v>7</v>
      </c>
      <c r="D22" s="9" t="e">
        <f>VLOOKUP(B22,'Nutrition Plan'!$D$48:$F$58,3,0)</f>
        <v>#N/A</v>
      </c>
      <c r="E22" s="10" t="e">
        <f t="shared" ref="E22:E23" si="3">D22/(70/5)</f>
        <v>#N/A</v>
      </c>
      <c r="F22" s="11" t="e">
        <f>D22/(70/8)</f>
        <v>#N/A</v>
      </c>
      <c r="G22" s="10" t="e">
        <f t="shared" ref="G22:G23" si="4">D22/(70/27)</f>
        <v>#N/A</v>
      </c>
      <c r="H22" s="12" t="e">
        <f t="shared" si="0"/>
        <v>#N/A</v>
      </c>
      <c r="I22" s="1"/>
      <c r="N22" s="42">
        <v>0.49</v>
      </c>
    </row>
    <row r="23" spans="1:14" ht="15.75" customHeight="1" thickTop="1" thickBot="1" x14ac:dyDescent="0.3">
      <c r="A23" s="1"/>
      <c r="B23" s="8" t="s">
        <v>51</v>
      </c>
      <c r="C23" s="8" t="s">
        <v>7</v>
      </c>
      <c r="D23" s="9" t="e">
        <f>VLOOKUP(B23,'Nutrition Plan'!$D$48:$F$58,3,0)</f>
        <v>#N/A</v>
      </c>
      <c r="E23" s="10" t="e">
        <f t="shared" si="3"/>
        <v>#N/A</v>
      </c>
      <c r="F23" s="11" t="e">
        <f>D23/(70/2.5)</f>
        <v>#N/A</v>
      </c>
      <c r="G23" s="10" t="e">
        <f t="shared" si="4"/>
        <v>#N/A</v>
      </c>
      <c r="H23" s="12" t="e">
        <f t="shared" si="0"/>
        <v>#N/A</v>
      </c>
      <c r="I23" s="1"/>
      <c r="N23" s="42">
        <v>0.5</v>
      </c>
    </row>
    <row r="24" spans="1:14" ht="15.75" customHeight="1" thickTop="1" thickBot="1" x14ac:dyDescent="0.3">
      <c r="A24" s="1"/>
      <c r="B24" s="8" t="s">
        <v>54</v>
      </c>
      <c r="C24" s="8" t="s">
        <v>55</v>
      </c>
      <c r="D24" s="9" t="e">
        <f>VLOOKUP(B24,'Nutrition Plan'!$D$48:$F$58,3,0)</f>
        <v>#N/A</v>
      </c>
      <c r="E24" s="10" t="e">
        <f>D24/(2/5)</f>
        <v>#N/A</v>
      </c>
      <c r="F24" s="11" t="e">
        <f>D24/(2/5)</f>
        <v>#N/A</v>
      </c>
      <c r="G24" s="10" t="e">
        <f>D24/(2/25)</f>
        <v>#N/A</v>
      </c>
      <c r="H24" s="12" t="e">
        <f t="shared" si="0"/>
        <v>#N/A</v>
      </c>
      <c r="I24" s="1"/>
    </row>
    <row r="25" spans="1:14" ht="15.75" customHeight="1" thickTop="1" thickBot="1" x14ac:dyDescent="0.3">
      <c r="A25" s="1"/>
      <c r="B25" s="8" t="s">
        <v>179</v>
      </c>
      <c r="C25" s="8" t="s">
        <v>7</v>
      </c>
      <c r="D25" s="9" t="e">
        <f>VLOOKUP(B25,'Nutrition Plan'!$D$48:$F$58,3,0)</f>
        <v>#N/A</v>
      </c>
      <c r="E25" s="10" t="e">
        <f>D25/(100/2.4)</f>
        <v>#N/A</v>
      </c>
      <c r="F25" s="11" t="e">
        <f>D25/(100/0.15)</f>
        <v>#N/A</v>
      </c>
      <c r="G25" s="10" t="e">
        <f>D25/(100/24.2)</f>
        <v>#N/A</v>
      </c>
      <c r="H25" s="12" t="e">
        <f t="shared" si="0"/>
        <v>#N/A</v>
      </c>
      <c r="I25" s="1"/>
    </row>
    <row r="26" spans="1:14" ht="15.75" customHeight="1" thickTop="1" thickBot="1" x14ac:dyDescent="0.3">
      <c r="A26" s="1"/>
      <c r="B26" s="8" t="s">
        <v>57</v>
      </c>
      <c r="C26" s="8" t="s">
        <v>58</v>
      </c>
      <c r="D26" s="9" t="e">
        <f>VLOOKUP(B26,'Nutrition Plan'!$D$48:$F$58,3,0)</f>
        <v>#N/A</v>
      </c>
      <c r="E26" s="10" t="e">
        <f>D26/(1/8)</f>
        <v>#N/A</v>
      </c>
      <c r="F26" s="11" t="e">
        <f>D26/(1/3)</f>
        <v>#N/A</v>
      </c>
      <c r="G26" s="10" t="e">
        <f>D26/(1/7)</f>
        <v>#N/A</v>
      </c>
      <c r="H26" s="12" t="e">
        <f t="shared" si="0"/>
        <v>#N/A</v>
      </c>
      <c r="I26" s="1"/>
    </row>
    <row r="27" spans="1:14" ht="15.75" customHeight="1" thickTop="1" x14ac:dyDescent="0.3">
      <c r="A27" s="1"/>
      <c r="B27" s="173" t="s">
        <v>26</v>
      </c>
      <c r="C27" s="174"/>
      <c r="D27" s="174"/>
      <c r="E27" s="174"/>
      <c r="F27" s="174"/>
      <c r="G27" s="174"/>
      <c r="H27" s="134"/>
      <c r="I27" s="1"/>
    </row>
    <row r="28" spans="1:14" ht="15.75" customHeight="1" thickBot="1" x14ac:dyDescent="0.3">
      <c r="A28" s="1"/>
      <c r="B28" s="8" t="s">
        <v>60</v>
      </c>
      <c r="C28" s="8" t="s">
        <v>7</v>
      </c>
      <c r="D28" s="9" t="e">
        <f>VLOOKUP(B28,'Nutrition Plan'!$D$48:$F$58,3,0)</f>
        <v>#N/A</v>
      </c>
      <c r="E28" s="10" t="e">
        <f>D28/(28/2.95)</f>
        <v>#N/A</v>
      </c>
      <c r="F28" s="11" t="e">
        <f>D28/(28/0.64)</f>
        <v>#N/A</v>
      </c>
      <c r="G28" s="10" t="e">
        <f>D28/(28/1.34)</f>
        <v>#N/A</v>
      </c>
      <c r="H28" s="12" t="e">
        <f t="shared" ref="H28:H53" si="5">(E28*4)+(F28*9)+(G28*4)</f>
        <v>#N/A</v>
      </c>
      <c r="I28" s="1"/>
    </row>
    <row r="29" spans="1:14" ht="15.75" customHeight="1" thickTop="1" thickBot="1" x14ac:dyDescent="0.3">
      <c r="A29" s="1"/>
      <c r="B29" s="8" t="s">
        <v>61</v>
      </c>
      <c r="C29" s="8" t="s">
        <v>7</v>
      </c>
      <c r="D29" s="9" t="e">
        <f>VLOOKUP(B29,'Nutrition Plan'!$D$48:$F$58,3,0)</f>
        <v>#N/A</v>
      </c>
      <c r="E29" s="10" t="e">
        <f>D29/(100/18.94)</f>
        <v>#N/A</v>
      </c>
      <c r="F29" s="11" t="e">
        <f>D29/(100/26.05)</f>
        <v>#N/A</v>
      </c>
      <c r="G29" s="10" t="e">
        <f>D29/(100/6.94)</f>
        <v>#N/A</v>
      </c>
      <c r="H29" s="12" t="e">
        <f t="shared" si="5"/>
        <v>#N/A</v>
      </c>
      <c r="I29" s="1"/>
    </row>
    <row r="30" spans="1:14" ht="15.75" customHeight="1" thickTop="1" thickBot="1" x14ac:dyDescent="0.3">
      <c r="A30" s="1"/>
      <c r="B30" s="8" t="s">
        <v>62</v>
      </c>
      <c r="C30" s="8" t="s">
        <v>22</v>
      </c>
      <c r="D30" s="9" t="e">
        <f>VLOOKUP(B30,'Nutrition Plan'!$D$48:$F$58,3,0)</f>
        <v>#N/A</v>
      </c>
      <c r="E30" s="10" t="e">
        <f>D30/(1/4)</f>
        <v>#N/A</v>
      </c>
      <c r="F30" s="11" t="e">
        <f>D30/(1/6)</f>
        <v>#N/A</v>
      </c>
      <c r="G30" s="10">
        <f>0</f>
        <v>0</v>
      </c>
      <c r="H30" s="12" t="e">
        <f t="shared" si="5"/>
        <v>#N/A</v>
      </c>
      <c r="I30" s="1"/>
    </row>
    <row r="31" spans="1:14" ht="15.75" customHeight="1" thickTop="1" thickBot="1" x14ac:dyDescent="0.3">
      <c r="A31" s="1"/>
      <c r="B31" s="8" t="s">
        <v>63</v>
      </c>
      <c r="C31" s="8" t="s">
        <v>7</v>
      </c>
      <c r="D31" s="9" t="e">
        <f>VLOOKUP(B31,'Nutrition Plan'!$D$48:$F$58,3,0)</f>
        <v>#N/A</v>
      </c>
      <c r="E31" s="10" t="e">
        <f>D31/(100/14.21)</f>
        <v>#N/A</v>
      </c>
      <c r="F31" s="11" t="e">
        <f>D31/(100/21.28)</f>
        <v>#N/A</v>
      </c>
      <c r="G31" s="10" t="e">
        <f>D31/(100/4.09)</f>
        <v>#N/A</v>
      </c>
      <c r="H31" s="12" t="e">
        <f t="shared" si="5"/>
        <v>#N/A</v>
      </c>
      <c r="I31" s="1"/>
    </row>
    <row r="32" spans="1:14" ht="15.75" customHeight="1" thickTop="1" thickBot="1" x14ac:dyDescent="0.3">
      <c r="A32" s="1"/>
      <c r="B32" s="8" t="s">
        <v>64</v>
      </c>
      <c r="C32" s="8" t="s">
        <v>7</v>
      </c>
      <c r="D32" s="9" t="e">
        <f>VLOOKUP(B32,'Nutrition Plan'!$D$48:$F$58,3,0)</f>
        <v>#N/A</v>
      </c>
      <c r="E32" s="10" t="e">
        <f>D32/(28/6)</f>
        <v>#N/A</v>
      </c>
      <c r="F32" s="11" t="e">
        <f>D32/(28/4)</f>
        <v>#N/A</v>
      </c>
      <c r="G32" s="10" t="e">
        <f>D32/(28/3)</f>
        <v>#N/A</v>
      </c>
      <c r="H32" s="12" t="e">
        <f t="shared" si="5"/>
        <v>#N/A</v>
      </c>
      <c r="I32" s="1"/>
    </row>
    <row r="33" spans="1:9" ht="15.75" customHeight="1" thickTop="1" thickBot="1" x14ac:dyDescent="0.3">
      <c r="A33" s="1"/>
      <c r="B33" s="8" t="s">
        <v>65</v>
      </c>
      <c r="C33" s="8" t="s">
        <v>22</v>
      </c>
      <c r="D33" s="9" t="e">
        <f>VLOOKUP(B33,'Nutrition Plan'!$D$48:$F$58,3,0)</f>
        <v>#N/A</v>
      </c>
      <c r="E33" s="10" t="e">
        <f t="shared" ref="E33:E34" si="6">D33/(1/3)</f>
        <v>#N/A</v>
      </c>
      <c r="F33" s="11" t="e">
        <f>D33/(1/2.5)</f>
        <v>#N/A</v>
      </c>
      <c r="G33" s="10" t="e">
        <f t="shared" ref="G33:G34" si="7">D33/(1/1)</f>
        <v>#N/A</v>
      </c>
      <c r="H33" s="12" t="e">
        <f t="shared" si="5"/>
        <v>#N/A</v>
      </c>
      <c r="I33" s="1"/>
    </row>
    <row r="34" spans="1:9" ht="15.75" customHeight="1" thickTop="1" thickBot="1" x14ac:dyDescent="0.3">
      <c r="A34" s="1"/>
      <c r="B34" s="8" t="s">
        <v>66</v>
      </c>
      <c r="C34" s="8" t="s">
        <v>22</v>
      </c>
      <c r="D34" s="9" t="e">
        <f>VLOOKUP(B34,'Nutrition Plan'!$D$48:$F$58,3,0)</f>
        <v>#N/A</v>
      </c>
      <c r="E34" s="10" t="e">
        <f t="shared" si="6"/>
        <v>#N/A</v>
      </c>
      <c r="F34" s="11" t="e">
        <f>D34/(1/3)</f>
        <v>#N/A</v>
      </c>
      <c r="G34" s="10" t="e">
        <f t="shared" si="7"/>
        <v>#N/A</v>
      </c>
      <c r="H34" s="12" t="e">
        <f t="shared" si="5"/>
        <v>#N/A</v>
      </c>
      <c r="I34" s="1"/>
    </row>
    <row r="35" spans="1:9" ht="15.75" customHeight="1" thickTop="1" thickBot="1" x14ac:dyDescent="0.3">
      <c r="A35" s="1"/>
      <c r="B35" s="8" t="s">
        <v>67</v>
      </c>
      <c r="C35" s="8" t="s">
        <v>7</v>
      </c>
      <c r="D35" s="9" t="e">
        <f>VLOOKUP(B35,'Nutrition Plan'!$D$48:$F$58,3,0)</f>
        <v>#N/A</v>
      </c>
      <c r="E35" s="10" t="e">
        <f>D35/(28/9)</f>
        <v>#N/A</v>
      </c>
      <c r="F35" s="11">
        <f>0</f>
        <v>0</v>
      </c>
      <c r="G35" s="10" t="e">
        <f>D35/(28/2)</f>
        <v>#N/A</v>
      </c>
      <c r="H35" s="12" t="e">
        <f t="shared" si="5"/>
        <v>#N/A</v>
      </c>
      <c r="I35" s="1"/>
    </row>
    <row r="36" spans="1:9" ht="15.75" customHeight="1" thickTop="1" thickBot="1" x14ac:dyDescent="0.3">
      <c r="A36" s="1"/>
      <c r="B36" s="8" t="s">
        <v>68</v>
      </c>
      <c r="C36" s="8" t="s">
        <v>22</v>
      </c>
      <c r="D36" s="9" t="e">
        <f>VLOOKUP(B36,'Nutrition Plan'!$D$48:$F$58,3,0)</f>
        <v>#N/A</v>
      </c>
      <c r="E36" s="10" t="e">
        <f>D36/(1/5)</f>
        <v>#N/A</v>
      </c>
      <c r="F36" s="11" t="e">
        <f>D36/(1/5)</f>
        <v>#N/A</v>
      </c>
      <c r="G36" s="10">
        <f>0</f>
        <v>0</v>
      </c>
      <c r="H36" s="12" t="e">
        <f t="shared" si="5"/>
        <v>#N/A</v>
      </c>
      <c r="I36" s="1"/>
    </row>
    <row r="37" spans="1:9" ht="15.75" customHeight="1" thickTop="1" thickBot="1" x14ac:dyDescent="0.3">
      <c r="A37" s="1"/>
      <c r="B37" s="8" t="s">
        <v>69</v>
      </c>
      <c r="C37" s="8" t="s">
        <v>7</v>
      </c>
      <c r="D37" s="9" t="e">
        <f>VLOOKUP(B37,'Nutrition Plan'!$D$48:$F$58,3,0)</f>
        <v>#N/A</v>
      </c>
      <c r="E37" s="10" t="e">
        <f t="shared" ref="E37:E38" si="8">D37/(28/8)</f>
        <v>#N/A</v>
      </c>
      <c r="F37" s="11" t="e">
        <f>D37/(28/4.5)</f>
        <v>#N/A</v>
      </c>
      <c r="G37" s="10" t="e">
        <f t="shared" ref="G37:G38" si="9">D37/(28/1)</f>
        <v>#N/A</v>
      </c>
      <c r="H37" s="12" t="e">
        <f t="shared" si="5"/>
        <v>#N/A</v>
      </c>
      <c r="I37" s="1"/>
    </row>
    <row r="38" spans="1:9" ht="15.75" customHeight="1" thickTop="1" thickBot="1" x14ac:dyDescent="0.3">
      <c r="A38" s="1"/>
      <c r="B38" s="8" t="s">
        <v>71</v>
      </c>
      <c r="C38" s="8" t="s">
        <v>7</v>
      </c>
      <c r="D38" s="9" t="e">
        <f>VLOOKUP(B38,'Nutrition Plan'!$D$48:$F$58,3,0)</f>
        <v>#N/A</v>
      </c>
      <c r="E38" s="10" t="e">
        <f t="shared" si="8"/>
        <v>#N/A</v>
      </c>
      <c r="F38" s="11" t="e">
        <f>D38/(28/6)</f>
        <v>#N/A</v>
      </c>
      <c r="G38" s="10" t="e">
        <f t="shared" si="9"/>
        <v>#N/A</v>
      </c>
      <c r="H38" s="12" t="e">
        <f t="shared" si="5"/>
        <v>#N/A</v>
      </c>
      <c r="I38" s="1"/>
    </row>
    <row r="39" spans="1:9" ht="15.75" customHeight="1" thickTop="1" thickBot="1" x14ac:dyDescent="0.3">
      <c r="A39" s="1"/>
      <c r="B39" s="8" t="s">
        <v>72</v>
      </c>
      <c r="C39" s="8" t="s">
        <v>7</v>
      </c>
      <c r="D39" s="9" t="e">
        <f>VLOOKUP(B39,'Nutrition Plan'!$D$48:$F$58,3,0)</f>
        <v>#N/A</v>
      </c>
      <c r="E39" s="10" t="e">
        <f>D39/(100/11.39)</f>
        <v>#N/A</v>
      </c>
      <c r="F39" s="11" t="e">
        <f>D39/(100/7.91)</f>
        <v>#N/A</v>
      </c>
      <c r="G39" s="10" t="e">
        <f>D39/(100/5.4)</f>
        <v>#N/A</v>
      </c>
      <c r="H39" s="12" t="e">
        <f t="shared" si="5"/>
        <v>#N/A</v>
      </c>
      <c r="I39" s="1"/>
    </row>
    <row r="40" spans="1:9" ht="15.75" customHeight="1" thickTop="1" thickBot="1" x14ac:dyDescent="0.3">
      <c r="A40" s="1"/>
      <c r="B40" s="8" t="s">
        <v>73</v>
      </c>
      <c r="C40" s="8" t="s">
        <v>7</v>
      </c>
      <c r="D40" s="9" t="e">
        <f>VLOOKUP(B40,'Nutrition Plan'!$D$48:$F$58,3,0)</f>
        <v>#N/A</v>
      </c>
      <c r="E40" s="10" t="e">
        <f>D40/(100/9.8)</f>
        <v>#N/A</v>
      </c>
      <c r="F40" s="11">
        <f>0</f>
        <v>0</v>
      </c>
      <c r="G40" s="10" t="e">
        <f>D40/(100/1.6)</f>
        <v>#N/A</v>
      </c>
      <c r="H40" s="12" t="e">
        <f t="shared" si="5"/>
        <v>#N/A</v>
      </c>
      <c r="I40" s="1"/>
    </row>
    <row r="41" spans="1:9" ht="15.75" customHeight="1" thickTop="1" thickBot="1" x14ac:dyDescent="0.3">
      <c r="A41" s="1"/>
      <c r="B41" s="8" t="s">
        <v>74</v>
      </c>
      <c r="C41" s="8" t="s">
        <v>75</v>
      </c>
      <c r="D41" s="9" t="e">
        <f>VLOOKUP(B41,'Nutrition Plan'!$D$48:$F$58,3,0)</f>
        <v>#N/A</v>
      </c>
      <c r="E41" s="10" t="e">
        <f>D41/(1/3.6)</f>
        <v>#N/A</v>
      </c>
      <c r="F41" s="11" t="e">
        <f>D41/(1/0.06)</f>
        <v>#N/A</v>
      </c>
      <c r="G41" s="10" t="e">
        <f>D41/(1/0.24)</f>
        <v>#N/A</v>
      </c>
      <c r="H41" s="12" t="e">
        <f t="shared" si="5"/>
        <v>#N/A</v>
      </c>
      <c r="I41" s="1"/>
    </row>
    <row r="42" spans="1:9" ht="15.75" customHeight="1" thickTop="1" thickBot="1" x14ac:dyDescent="0.3">
      <c r="A42" s="1"/>
      <c r="B42" s="8" t="s">
        <v>77</v>
      </c>
      <c r="C42" s="8" t="s">
        <v>75</v>
      </c>
      <c r="D42" s="9" t="e">
        <f>VLOOKUP(B42,'Nutrition Plan'!$D$48:$F$58,3,0)</f>
        <v>#N/A</v>
      </c>
      <c r="E42" s="10" t="e">
        <f>D42/(1/6.28)</f>
        <v>#N/A</v>
      </c>
      <c r="F42" s="11" t="e">
        <f>D42/(1/4.76)</f>
        <v>#N/A</v>
      </c>
      <c r="G42" s="10" t="e">
        <f>D42/(1/0.36)</f>
        <v>#N/A</v>
      </c>
      <c r="H42" s="12" t="e">
        <f t="shared" si="5"/>
        <v>#N/A</v>
      </c>
      <c r="I42" s="1"/>
    </row>
    <row r="43" spans="1:9" ht="15.75" customHeight="1" thickTop="1" thickBot="1" x14ac:dyDescent="0.3">
      <c r="A43" s="1"/>
      <c r="B43" s="8" t="s">
        <v>78</v>
      </c>
      <c r="C43" s="8" t="s">
        <v>75</v>
      </c>
      <c r="D43" s="9" t="e">
        <f>VLOOKUP(B43,'Nutrition Plan'!$D$48:$F$58,3,0)</f>
        <v>#N/A</v>
      </c>
      <c r="E43" s="10" t="e">
        <f>D43/(1/7)</f>
        <v>#N/A</v>
      </c>
      <c r="F43" s="11" t="e">
        <f>D43/(1/4.5)</f>
        <v>#N/A</v>
      </c>
      <c r="G43" s="10">
        <v>0</v>
      </c>
      <c r="H43" s="12" t="e">
        <f t="shared" si="5"/>
        <v>#N/A</v>
      </c>
      <c r="I43" s="1"/>
    </row>
    <row r="44" spans="1:9" ht="15.75" customHeight="1" thickTop="1" thickBot="1" x14ac:dyDescent="0.3">
      <c r="A44" s="1"/>
      <c r="B44" s="8" t="s">
        <v>79</v>
      </c>
      <c r="C44" s="8" t="s">
        <v>7</v>
      </c>
      <c r="D44" s="9" t="e">
        <f>VLOOKUP(B44,'Nutrition Plan'!$D$48:$F$58,3,0)</f>
        <v>#N/A</v>
      </c>
      <c r="E44" s="10" t="e">
        <f t="shared" ref="E44:E45" si="10">D44/(46/5)</f>
        <v>#N/A</v>
      </c>
      <c r="F44" s="11">
        <f t="shared" ref="F44:F45" si="11">0</f>
        <v>0</v>
      </c>
      <c r="G44" s="10" t="e">
        <f>D44/(46/0.75)</f>
        <v>#N/A</v>
      </c>
      <c r="H44" s="12" t="e">
        <f t="shared" si="5"/>
        <v>#N/A</v>
      </c>
      <c r="I44" s="1"/>
    </row>
    <row r="45" spans="1:9" ht="15.75" customHeight="1" thickTop="1" thickBot="1" x14ac:dyDescent="0.3">
      <c r="A45" s="1"/>
      <c r="B45" s="8" t="s">
        <v>80</v>
      </c>
      <c r="C45" s="8" t="s">
        <v>7</v>
      </c>
      <c r="D45" s="9" t="e">
        <f>VLOOKUP(B45,'Nutrition Plan'!$D$48:$F$58,3,0)</f>
        <v>#N/A</v>
      </c>
      <c r="E45" s="10" t="e">
        <f t="shared" si="10"/>
        <v>#N/A</v>
      </c>
      <c r="F45" s="11">
        <f t="shared" si="11"/>
        <v>0</v>
      </c>
      <c r="G45" s="10">
        <f>0</f>
        <v>0</v>
      </c>
      <c r="H45" s="12" t="e">
        <f t="shared" si="5"/>
        <v>#N/A</v>
      </c>
      <c r="I45" s="1"/>
    </row>
    <row r="46" spans="1:9" ht="15.75" customHeight="1" thickTop="1" thickBot="1" x14ac:dyDescent="0.3">
      <c r="A46" s="1"/>
      <c r="B46" s="8" t="s">
        <v>81</v>
      </c>
      <c r="C46" s="8" t="s">
        <v>82</v>
      </c>
      <c r="D46" s="9" t="e">
        <f>VLOOKUP(B46,'Nutrition Plan'!$D$48:$F$58,3,0)</f>
        <v>#N/A</v>
      </c>
      <c r="E46" s="10" t="e">
        <f t="shared" ref="E46:E47" si="12">D46/(8/8)</f>
        <v>#N/A</v>
      </c>
      <c r="F46" s="11" t="e">
        <f>D46/(8/2.4)</f>
        <v>#N/A</v>
      </c>
      <c r="G46" s="10" t="e">
        <f t="shared" ref="G46:G47" si="13">D46/(8/12)</f>
        <v>#N/A</v>
      </c>
      <c r="H46" s="12" t="e">
        <f t="shared" si="5"/>
        <v>#N/A</v>
      </c>
      <c r="I46" s="1"/>
    </row>
    <row r="47" spans="1:9" ht="15.75" customHeight="1" thickTop="1" thickBot="1" x14ac:dyDescent="0.3">
      <c r="A47" s="1"/>
      <c r="B47" s="8" t="s">
        <v>83</v>
      </c>
      <c r="C47" s="8" t="s">
        <v>82</v>
      </c>
      <c r="D47" s="9" t="e">
        <f>VLOOKUP(B47,'Nutrition Plan'!$D$48:$F$58,3,0)</f>
        <v>#N/A</v>
      </c>
      <c r="E47" s="10" t="e">
        <f t="shared" si="12"/>
        <v>#N/A</v>
      </c>
      <c r="F47" s="11" t="e">
        <f>D47/(8/4.9)</f>
        <v>#N/A</v>
      </c>
      <c r="G47" s="10" t="e">
        <f t="shared" si="13"/>
        <v>#N/A</v>
      </c>
      <c r="H47" s="12" t="e">
        <f t="shared" si="5"/>
        <v>#N/A</v>
      </c>
      <c r="I47" s="1"/>
    </row>
    <row r="48" spans="1:9" ht="15.75" customHeight="1" thickTop="1" thickBot="1" x14ac:dyDescent="0.3">
      <c r="A48" s="1"/>
      <c r="B48" s="8" t="s">
        <v>84</v>
      </c>
      <c r="C48" s="8" t="s">
        <v>82</v>
      </c>
      <c r="D48" s="9" t="e">
        <f>VLOOKUP(B48,'Nutrition Plan'!$D$48:$F$58,3,0)</f>
        <v>#N/A</v>
      </c>
      <c r="E48" s="10" t="e">
        <f t="shared" ref="E48:E50" si="14">D48/(8/1)</f>
        <v>#N/A</v>
      </c>
      <c r="F48" s="11" t="e">
        <f>D48/(8/2.5)</f>
        <v>#N/A</v>
      </c>
      <c r="G48" s="10" t="e">
        <f t="shared" ref="G48:G50" si="15">D48/(8/1)</f>
        <v>#N/A</v>
      </c>
      <c r="H48" s="12" t="e">
        <f t="shared" si="5"/>
        <v>#N/A</v>
      </c>
      <c r="I48" s="1"/>
    </row>
    <row r="49" spans="1:9" ht="15.75" customHeight="1" thickTop="1" thickBot="1" x14ac:dyDescent="0.3">
      <c r="A49" s="1"/>
      <c r="B49" s="8" t="s">
        <v>85</v>
      </c>
      <c r="C49" s="8" t="s">
        <v>82</v>
      </c>
      <c r="D49" s="9" t="e">
        <f>VLOOKUP(B49,'Nutrition Plan'!$D$48:$F$58,3,0)</f>
        <v>#N/A</v>
      </c>
      <c r="E49" s="10" t="e">
        <f t="shared" si="14"/>
        <v>#N/A</v>
      </c>
      <c r="F49" s="11" t="e">
        <f>D49/(8/2)</f>
        <v>#N/A</v>
      </c>
      <c r="G49" s="10" t="e">
        <f t="shared" si="15"/>
        <v>#N/A</v>
      </c>
      <c r="H49" s="12" t="e">
        <f t="shared" si="5"/>
        <v>#N/A</v>
      </c>
      <c r="I49" s="1"/>
    </row>
    <row r="50" spans="1:9" ht="15.75" customHeight="1" thickTop="1" thickBot="1" x14ac:dyDescent="0.3">
      <c r="A50" s="1"/>
      <c r="B50" s="8" t="s">
        <v>86</v>
      </c>
      <c r="C50" s="8" t="s">
        <v>82</v>
      </c>
      <c r="D50" s="9" t="e">
        <f>VLOOKUP(B50,'Nutrition Plan'!$D$48:$F$58,3,0)</f>
        <v>#N/A</v>
      </c>
      <c r="E50" s="10" t="e">
        <f t="shared" si="14"/>
        <v>#N/A</v>
      </c>
      <c r="F50" s="11" t="e">
        <f>D50/(8/3.5)</f>
        <v>#N/A</v>
      </c>
      <c r="G50" s="10" t="e">
        <f t="shared" si="15"/>
        <v>#N/A</v>
      </c>
      <c r="H50" s="12" t="e">
        <f t="shared" si="5"/>
        <v>#N/A</v>
      </c>
      <c r="I50" s="1"/>
    </row>
    <row r="51" spans="1:9" ht="15.75" customHeight="1" thickTop="1" thickBot="1" x14ac:dyDescent="0.3">
      <c r="A51" s="1"/>
      <c r="B51" s="8" t="s">
        <v>87</v>
      </c>
      <c r="C51" s="8" t="s">
        <v>82</v>
      </c>
      <c r="D51" s="9" t="e">
        <f>VLOOKUP(B51,'Nutrition Plan'!$D$48:$F$58,3,0)</f>
        <v>#N/A</v>
      </c>
      <c r="E51" s="10" t="e">
        <f t="shared" ref="E51:E52" si="16">D51/(8/8)</f>
        <v>#N/A</v>
      </c>
      <c r="F51" s="11" t="e">
        <f>D51/(8/0.2)</f>
        <v>#N/A</v>
      </c>
      <c r="G51" s="10" t="e">
        <f t="shared" ref="G51:G52" si="17">D51/(8/12)</f>
        <v>#N/A</v>
      </c>
      <c r="H51" s="12" t="e">
        <f t="shared" si="5"/>
        <v>#N/A</v>
      </c>
      <c r="I51" s="1"/>
    </row>
    <row r="52" spans="1:9" ht="15.75" customHeight="1" thickTop="1" thickBot="1" x14ac:dyDescent="0.3">
      <c r="A52" s="1"/>
      <c r="B52" s="8" t="s">
        <v>89</v>
      </c>
      <c r="C52" s="8" t="s">
        <v>82</v>
      </c>
      <c r="D52" s="9" t="e">
        <f>VLOOKUP(B52,'Nutrition Plan'!$D$48:$F$58,3,0)</f>
        <v>#N/A</v>
      </c>
      <c r="E52" s="10" t="e">
        <f t="shared" si="16"/>
        <v>#N/A</v>
      </c>
      <c r="F52" s="11" t="e">
        <f>D52/(8/8)</f>
        <v>#N/A</v>
      </c>
      <c r="G52" s="10" t="e">
        <f t="shared" si="17"/>
        <v>#N/A</v>
      </c>
      <c r="H52" s="12" t="e">
        <f t="shared" si="5"/>
        <v>#N/A</v>
      </c>
      <c r="I52" s="1"/>
    </row>
    <row r="53" spans="1:9" ht="15.75" customHeight="1" thickTop="1" thickBot="1" x14ac:dyDescent="0.3">
      <c r="A53" s="1"/>
      <c r="B53" s="8" t="s">
        <v>90</v>
      </c>
      <c r="C53" s="8" t="s">
        <v>7</v>
      </c>
      <c r="D53" s="9" t="e">
        <f>VLOOKUP(B53,'Nutrition Plan'!$D$48:$F$58,3,0)</f>
        <v>#N/A</v>
      </c>
      <c r="E53" s="10" t="e">
        <f>D53/(224/22.7)</f>
        <v>#N/A</v>
      </c>
      <c r="F53" s="11">
        <f>0</f>
        <v>0</v>
      </c>
      <c r="G53" s="10" t="e">
        <f>D53/(224/10.6)</f>
        <v>#N/A</v>
      </c>
      <c r="H53" s="12" t="e">
        <f t="shared" si="5"/>
        <v>#N/A</v>
      </c>
      <c r="I53" s="1"/>
    </row>
    <row r="54" spans="1:9" ht="15.75" customHeight="1" thickTop="1" x14ac:dyDescent="0.3">
      <c r="A54" s="1"/>
      <c r="B54" s="173" t="s">
        <v>5</v>
      </c>
      <c r="C54" s="174"/>
      <c r="D54" s="174"/>
      <c r="E54" s="174"/>
      <c r="F54" s="174"/>
      <c r="G54" s="174"/>
      <c r="H54" s="134"/>
      <c r="I54" s="1"/>
    </row>
    <row r="55" spans="1:9" ht="15.75" customHeight="1" thickBot="1" x14ac:dyDescent="0.3">
      <c r="A55" s="1"/>
      <c r="B55" s="8" t="s">
        <v>91</v>
      </c>
      <c r="C55" s="8" t="s">
        <v>7</v>
      </c>
      <c r="D55" s="9" t="e">
        <f>VLOOKUP(B55,'Nutrition Plan'!$D$48:$F$58,3,0)</f>
        <v>#N/A</v>
      </c>
      <c r="E55" s="10" t="e">
        <f>D55/(32/6)</f>
        <v>#N/A</v>
      </c>
      <c r="F55" s="11" t="e">
        <f>D55/(32/16)</f>
        <v>#N/A</v>
      </c>
      <c r="G55" s="10" t="e">
        <f>D55/(32/7)</f>
        <v>#N/A</v>
      </c>
      <c r="H55" s="12" t="e">
        <f t="shared" ref="H55:H71" si="18">(E55*4)+(F55*9)+(G55*4)</f>
        <v>#N/A</v>
      </c>
      <c r="I55" s="1"/>
    </row>
    <row r="56" spans="1:9" ht="15.75" customHeight="1" thickTop="1" thickBot="1" x14ac:dyDescent="0.3">
      <c r="A56" s="1"/>
      <c r="B56" s="8" t="s">
        <v>92</v>
      </c>
      <c r="C56" s="8" t="s">
        <v>7</v>
      </c>
      <c r="D56" s="9" t="e">
        <f>VLOOKUP(B56,'Nutrition Plan'!$D$48:$F$58,3,0)</f>
        <v>#N/A</v>
      </c>
      <c r="E56" s="10" t="e">
        <f>D56/(32/7)</f>
        <v>#N/A</v>
      </c>
      <c r="F56" s="11" t="e">
        <f>D56/(32/18)</f>
        <v>#N/A</v>
      </c>
      <c r="G56" s="10" t="e">
        <f>D56/(32/6)</f>
        <v>#N/A</v>
      </c>
      <c r="H56" s="12" t="e">
        <f t="shared" si="18"/>
        <v>#N/A</v>
      </c>
      <c r="I56" s="1"/>
    </row>
    <row r="57" spans="1:9" ht="15.75" customHeight="1" thickTop="1" thickBot="1" x14ac:dyDescent="0.3">
      <c r="A57" s="1"/>
      <c r="B57" s="8" t="s">
        <v>93</v>
      </c>
      <c r="C57" s="8" t="s">
        <v>7</v>
      </c>
      <c r="D57" s="9" t="e">
        <f>VLOOKUP(B57,'Nutrition Plan'!$D$48:$F$58,3,0)</f>
        <v>#N/A</v>
      </c>
      <c r="E57" s="10" t="e">
        <f>D57/(12/4)</f>
        <v>#N/A</v>
      </c>
      <c r="F57" s="11" t="e">
        <f>D57/(12/1.5)</f>
        <v>#N/A</v>
      </c>
      <c r="G57" s="10" t="e">
        <f>D57/(12/5)</f>
        <v>#N/A</v>
      </c>
      <c r="H57" s="12" t="e">
        <f t="shared" si="18"/>
        <v>#N/A</v>
      </c>
      <c r="I57" s="1"/>
    </row>
    <row r="58" spans="1:9" ht="15.75" customHeight="1" thickTop="1" thickBot="1" x14ac:dyDescent="0.3">
      <c r="A58" s="1"/>
      <c r="B58" s="8" t="s">
        <v>95</v>
      </c>
      <c r="C58" s="8" t="s">
        <v>7</v>
      </c>
      <c r="D58" s="9" t="e">
        <f>VLOOKUP(B58,'Nutrition Plan'!$D$48:$F$58,3,0)</f>
        <v>#N/A</v>
      </c>
      <c r="E58" s="10" t="e">
        <f>D58/(14/7)</f>
        <v>#N/A</v>
      </c>
      <c r="F58" s="11" t="e">
        <f>D58/(14/2)</f>
        <v>#N/A</v>
      </c>
      <c r="G58" s="10" t="e">
        <f>D58/(14/3)</f>
        <v>#N/A</v>
      </c>
      <c r="H58" s="12" t="e">
        <f t="shared" si="18"/>
        <v>#N/A</v>
      </c>
      <c r="I58" s="1"/>
    </row>
    <row r="59" spans="1:9" ht="15.75" customHeight="1" thickTop="1" thickBot="1" x14ac:dyDescent="0.3">
      <c r="A59" s="1"/>
      <c r="B59" s="8" t="s">
        <v>96</v>
      </c>
      <c r="C59" s="8" t="s">
        <v>7</v>
      </c>
      <c r="D59" s="9" t="e">
        <f>VLOOKUP(B59,'Nutrition Plan'!$D$48:$F$58,3,0)</f>
        <v>#N/A</v>
      </c>
      <c r="E59" s="10" t="e">
        <f>D59/(12/6)</f>
        <v>#N/A</v>
      </c>
      <c r="F59" s="11" t="e">
        <f>D59/(12/1.5)</f>
        <v>#N/A</v>
      </c>
      <c r="G59" s="10" t="e">
        <f>D59/(12/3)</f>
        <v>#N/A</v>
      </c>
      <c r="H59" s="12" t="e">
        <f t="shared" si="18"/>
        <v>#N/A</v>
      </c>
      <c r="I59" s="1"/>
    </row>
    <row r="60" spans="1:9" ht="15.75" customHeight="1" thickTop="1" thickBot="1" x14ac:dyDescent="0.3">
      <c r="A60" s="1"/>
      <c r="B60" s="8" t="s">
        <v>97</v>
      </c>
      <c r="C60" s="8" t="s">
        <v>7</v>
      </c>
      <c r="D60" s="9" t="e">
        <f>VLOOKUP(B60,'Nutrition Plan'!$D$48:$F$58,3,0)</f>
        <v>#N/A</v>
      </c>
      <c r="E60" s="10" t="e">
        <f>D60/(32/7)</f>
        <v>#N/A</v>
      </c>
      <c r="F60" s="11" t="e">
        <f>D60/(32/16)</f>
        <v>#N/A</v>
      </c>
      <c r="G60" s="10" t="e">
        <f>D60/(32/6)</f>
        <v>#N/A</v>
      </c>
      <c r="H60" s="12" t="e">
        <f t="shared" si="18"/>
        <v>#N/A</v>
      </c>
      <c r="I60" s="1"/>
    </row>
    <row r="61" spans="1:9" ht="15.75" customHeight="1" thickTop="1" thickBot="1" x14ac:dyDescent="0.3">
      <c r="A61" s="1"/>
      <c r="B61" s="8" t="s">
        <v>98</v>
      </c>
      <c r="C61" s="8" t="s">
        <v>7</v>
      </c>
      <c r="D61" s="9" t="e">
        <f>VLOOKUP(B61,'Nutrition Plan'!$D$48:$F$58,3,0)</f>
        <v>#N/A</v>
      </c>
      <c r="E61" s="10" t="e">
        <f>D61/(28/6)</f>
        <v>#N/A</v>
      </c>
      <c r="F61" s="11" t="e">
        <f>D61/(28/14)</f>
        <v>#N/A</v>
      </c>
      <c r="G61" s="10" t="e">
        <f>D61/(28/5.6)</f>
        <v>#N/A</v>
      </c>
      <c r="H61" s="12" t="e">
        <f t="shared" si="18"/>
        <v>#N/A</v>
      </c>
      <c r="I61" s="1"/>
    </row>
    <row r="62" spans="1:9" ht="15.75" customHeight="1" thickTop="1" thickBot="1" x14ac:dyDescent="0.3">
      <c r="A62" s="1"/>
      <c r="B62" s="8" t="s">
        <v>99</v>
      </c>
      <c r="C62" s="8" t="s">
        <v>7</v>
      </c>
      <c r="D62" s="9" t="e">
        <f>VLOOKUP(B62,'Nutrition Plan'!$D$48:$F$58,3,0)</f>
        <v>#N/A</v>
      </c>
      <c r="E62" s="10" t="e">
        <f>D62/(100/18.22)</f>
        <v>#N/A</v>
      </c>
      <c r="F62" s="11" t="e">
        <f>D62/(100/43.85)</f>
        <v>#N/A</v>
      </c>
      <c r="G62" s="10" t="e">
        <f>D62/(100/30.19)</f>
        <v>#N/A</v>
      </c>
      <c r="H62" s="12" t="e">
        <f t="shared" si="18"/>
        <v>#N/A</v>
      </c>
      <c r="I62" s="1"/>
    </row>
    <row r="63" spans="1:9" ht="15.75" customHeight="1" thickTop="1" thickBot="1" x14ac:dyDescent="0.3">
      <c r="A63" s="1"/>
      <c r="B63" s="8" t="s">
        <v>100</v>
      </c>
      <c r="C63" s="8" t="s">
        <v>7</v>
      </c>
      <c r="D63" s="9" t="e">
        <f>VLOOKUP(B63,'Nutrition Plan'!$D$48:$F$58,3,0)</f>
        <v>#N/A</v>
      </c>
      <c r="E63" s="10" t="e">
        <f>D63/(28/7)</f>
        <v>#N/A</v>
      </c>
      <c r="F63" s="11" t="e">
        <f>D63/(28/14)</f>
        <v>#N/A</v>
      </c>
      <c r="G63" s="10" t="e">
        <f>D63/(28/5)</f>
        <v>#N/A</v>
      </c>
      <c r="H63" s="12" t="e">
        <f t="shared" si="18"/>
        <v>#N/A</v>
      </c>
      <c r="I63" s="1"/>
    </row>
    <row r="64" spans="1:9" ht="15.75" customHeight="1" thickTop="1" thickBot="1" x14ac:dyDescent="0.3">
      <c r="A64" s="1"/>
      <c r="B64" s="8" t="s">
        <v>101</v>
      </c>
      <c r="C64" s="8" t="s">
        <v>7</v>
      </c>
      <c r="D64" s="9" t="e">
        <f>VLOOKUP(B64,'Nutrition Plan'!$D$48:$F$58,3,0)</f>
        <v>#N/A</v>
      </c>
      <c r="E64" s="10" t="e">
        <f>D64/(28/6)</f>
        <v>#N/A</v>
      </c>
      <c r="F64" s="11" t="e">
        <f>D64/(28/12)</f>
        <v>#N/A</v>
      </c>
      <c r="G64" s="10" t="e">
        <f>D64/(28/8)</f>
        <v>#N/A</v>
      </c>
      <c r="H64" s="12" t="e">
        <f t="shared" si="18"/>
        <v>#N/A</v>
      </c>
      <c r="I64" s="1"/>
    </row>
    <row r="65" spans="1:9" ht="15.75" customHeight="1" thickTop="1" thickBot="1" x14ac:dyDescent="0.3">
      <c r="A65" s="1"/>
      <c r="B65" s="8" t="s">
        <v>102</v>
      </c>
      <c r="C65" s="8" t="s">
        <v>7</v>
      </c>
      <c r="D65" s="9" t="e">
        <f>VLOOKUP(B65,'Nutrition Plan'!$D$48:$F$58,3,0)</f>
        <v>#N/A</v>
      </c>
      <c r="E65" s="10" t="e">
        <f>D65/(28/4)</f>
        <v>#N/A</v>
      </c>
      <c r="F65" s="11" t="e">
        <f>D65/(28/18)</f>
        <v>#N/A</v>
      </c>
      <c r="G65" s="10" t="e">
        <f>D65/(28/4)</f>
        <v>#N/A</v>
      </c>
      <c r="H65" s="12" t="e">
        <f t="shared" si="18"/>
        <v>#N/A</v>
      </c>
      <c r="I65" s="1"/>
    </row>
    <row r="66" spans="1:9" ht="15.75" customHeight="1" thickTop="1" thickBot="1" x14ac:dyDescent="0.3">
      <c r="A66" s="1"/>
      <c r="B66" s="8" t="s">
        <v>103</v>
      </c>
      <c r="C66" s="8" t="s">
        <v>7</v>
      </c>
      <c r="D66" s="9" t="e">
        <f>VLOOKUP(B66,'Nutrition Plan'!$D$48:$F$58,3,0)</f>
        <v>#N/A</v>
      </c>
      <c r="E66" s="10">
        <f t="shared" ref="E66:E67" si="19">0</f>
        <v>0</v>
      </c>
      <c r="F66" s="11" t="e">
        <f t="shared" ref="F66:F67" si="20">D66</f>
        <v>#N/A</v>
      </c>
      <c r="G66" s="10">
        <f t="shared" ref="G66:G67" si="21">0</f>
        <v>0</v>
      </c>
      <c r="H66" s="12" t="e">
        <f t="shared" si="18"/>
        <v>#N/A</v>
      </c>
      <c r="I66" s="1"/>
    </row>
    <row r="67" spans="1:9" ht="15.75" customHeight="1" thickTop="1" thickBot="1" x14ac:dyDescent="0.3">
      <c r="A67" s="1"/>
      <c r="B67" s="8" t="s">
        <v>104</v>
      </c>
      <c r="C67" s="8" t="s">
        <v>7</v>
      </c>
      <c r="D67" s="9" t="e">
        <f>VLOOKUP(B67,'Nutrition Plan'!$D$48:$F$58,3,0)</f>
        <v>#N/A</v>
      </c>
      <c r="E67" s="10">
        <f t="shared" si="19"/>
        <v>0</v>
      </c>
      <c r="F67" s="11" t="e">
        <f t="shared" si="20"/>
        <v>#N/A</v>
      </c>
      <c r="G67" s="10">
        <f t="shared" si="21"/>
        <v>0</v>
      </c>
      <c r="H67" s="12" t="e">
        <f t="shared" si="18"/>
        <v>#N/A</v>
      </c>
      <c r="I67" s="1"/>
    </row>
    <row r="68" spans="1:9" ht="15.75" customHeight="1" thickTop="1" thickBot="1" x14ac:dyDescent="0.3">
      <c r="A68" s="1"/>
      <c r="B68" s="8" t="s">
        <v>105</v>
      </c>
      <c r="C68" s="8" t="s">
        <v>7</v>
      </c>
      <c r="D68" s="9" t="e">
        <f>VLOOKUP(B68,'Nutrition Plan'!$D$48:$F$58,3,0)</f>
        <v>#N/A</v>
      </c>
      <c r="E68" s="10" t="e">
        <f>D68/(100/16.54)</f>
        <v>#N/A</v>
      </c>
      <c r="F68" s="11" t="e">
        <f>D68/(100/30.74)</f>
        <v>#N/A</v>
      </c>
      <c r="G68" s="10" t="e">
        <f>D68/(100/42.12)</f>
        <v>#N/A</v>
      </c>
      <c r="H68" s="12" t="e">
        <f t="shared" si="18"/>
        <v>#N/A</v>
      </c>
      <c r="I68" s="1"/>
    </row>
    <row r="69" spans="1:9" ht="15.75" customHeight="1" thickTop="1" thickBot="1" x14ac:dyDescent="0.3">
      <c r="A69" s="1"/>
      <c r="B69" s="8" t="s">
        <v>106</v>
      </c>
      <c r="C69" s="8" t="s">
        <v>7</v>
      </c>
      <c r="D69" s="9" t="e">
        <f>VLOOKUP(B69,'Nutrition Plan'!$D$48:$F$58,3,0)</f>
        <v>#N/A</v>
      </c>
      <c r="E69" s="10" t="e">
        <f>D69/(100/18.29)</f>
        <v>#N/A</v>
      </c>
      <c r="F69" s="11" t="e">
        <f>D69/(100/42.16)</f>
        <v>#N/A</v>
      </c>
      <c r="G69" s="10" t="e">
        <f>D69/(100/28.88)</f>
        <v>#N/A</v>
      </c>
      <c r="H69" s="12" t="e">
        <f t="shared" si="18"/>
        <v>#N/A</v>
      </c>
      <c r="I69" s="1"/>
    </row>
    <row r="70" spans="1:9" ht="15.75" customHeight="1" thickTop="1" thickBot="1" x14ac:dyDescent="0.3">
      <c r="A70" s="1"/>
      <c r="B70" s="8" t="s">
        <v>107</v>
      </c>
      <c r="C70" s="8" t="s">
        <v>7</v>
      </c>
      <c r="D70" s="9" t="e">
        <f>VLOOKUP(B70,'Nutrition Plan'!$D$48:$F$58,3,0)</f>
        <v>#N/A</v>
      </c>
      <c r="E70" s="10" t="e">
        <f>D70/(100/31.56)</f>
        <v>#N/A</v>
      </c>
      <c r="F70" s="11" t="e">
        <f>D70/(100/48.75)</f>
        <v>#N/A</v>
      </c>
      <c r="G70" s="10" t="e">
        <f>D70/(100/8.67)</f>
        <v>#N/A</v>
      </c>
      <c r="H70" s="12" t="e">
        <f t="shared" si="18"/>
        <v>#N/A</v>
      </c>
      <c r="I70" s="1"/>
    </row>
    <row r="71" spans="1:9" ht="15.75" customHeight="1" thickTop="1" thickBot="1" x14ac:dyDescent="0.3">
      <c r="A71" s="1"/>
      <c r="B71" s="8" t="s">
        <v>108</v>
      </c>
      <c r="C71" s="8" t="s">
        <v>7</v>
      </c>
      <c r="D71" s="9" t="e">
        <f>VLOOKUP(B71,'Nutrition Plan'!$D$48:$F$58,3,0)</f>
        <v>#N/A</v>
      </c>
      <c r="E71" s="10" t="e">
        <f>D71/(28/6)</f>
        <v>#N/A</v>
      </c>
      <c r="F71" s="11" t="e">
        <f>D71/(28/14)</f>
        <v>#N/A</v>
      </c>
      <c r="G71" s="10" t="e">
        <f>D71/(28/6)</f>
        <v>#N/A</v>
      </c>
      <c r="H71" s="12" t="e">
        <f t="shared" si="18"/>
        <v>#N/A</v>
      </c>
      <c r="I71" s="1"/>
    </row>
    <row r="72" spans="1:9" ht="15.75" customHeight="1" thickTop="1" x14ac:dyDescent="0.3">
      <c r="A72" s="1"/>
      <c r="B72" s="173" t="s">
        <v>33</v>
      </c>
      <c r="C72" s="174"/>
      <c r="D72" s="174"/>
      <c r="E72" s="174"/>
      <c r="F72" s="174"/>
      <c r="G72" s="174"/>
      <c r="H72" s="134"/>
      <c r="I72" s="1"/>
    </row>
    <row r="73" spans="1:9" ht="15.75" customHeight="1" thickBot="1" x14ac:dyDescent="0.3">
      <c r="A73" s="1"/>
      <c r="B73" s="8" t="s">
        <v>180</v>
      </c>
      <c r="C73" s="8" t="s">
        <v>7</v>
      </c>
      <c r="D73" s="9" t="e">
        <f>VLOOKUP(B73,'Nutrition Plan'!$D$48:$F$58,3,0)</f>
        <v>#N/A</v>
      </c>
      <c r="E73" s="10" t="e">
        <f>D73/(28/6)</f>
        <v>#N/A</v>
      </c>
      <c r="F73" s="11" t="e">
        <f>D73/(28/0.2)</f>
        <v>#N/A</v>
      </c>
      <c r="G73" s="10">
        <v>0</v>
      </c>
      <c r="H73" s="12" t="e">
        <f t="shared" ref="H73:H108" si="22">(E73*4)+(F73*9)+(G73*4)</f>
        <v>#N/A</v>
      </c>
      <c r="I73" s="1"/>
    </row>
    <row r="74" spans="1:9" ht="15.75" customHeight="1" thickTop="1" thickBot="1" x14ac:dyDescent="0.3">
      <c r="A74" s="1"/>
      <c r="B74" s="8" t="s">
        <v>181</v>
      </c>
      <c r="C74" s="8" t="s">
        <v>7</v>
      </c>
      <c r="D74" s="9" t="e">
        <f>VLOOKUP(B74,'Nutrition Plan'!$D$48:$F$58,3,0)</f>
        <v>#N/A</v>
      </c>
      <c r="E74" s="10" t="e">
        <f>D74/(28/5)</f>
        <v>#N/A</v>
      </c>
      <c r="F74" s="11" t="e">
        <f>D74/(28/1)</f>
        <v>#N/A</v>
      </c>
      <c r="G74" s="10">
        <v>0</v>
      </c>
      <c r="H74" s="12" t="e">
        <f t="shared" si="22"/>
        <v>#N/A</v>
      </c>
      <c r="I74" s="1"/>
    </row>
    <row r="75" spans="1:9" ht="15.75" customHeight="1" thickTop="1" thickBot="1" x14ac:dyDescent="0.3">
      <c r="A75" s="1"/>
      <c r="B75" s="8" t="s">
        <v>182</v>
      </c>
      <c r="C75" s="8" t="s">
        <v>7</v>
      </c>
      <c r="D75" s="9" t="e">
        <f>VLOOKUP(B75,'Nutrition Plan'!$D$48:$F$58,3,0)</f>
        <v>#N/A</v>
      </c>
      <c r="E75" s="10" t="e">
        <f>D75/(28/6.5)</f>
        <v>#N/A</v>
      </c>
      <c r="F75" s="11" t="e">
        <f>D75/(28/0.2)</f>
        <v>#N/A</v>
      </c>
      <c r="G75" s="10">
        <v>0</v>
      </c>
      <c r="H75" s="12" t="e">
        <f t="shared" si="22"/>
        <v>#N/A</v>
      </c>
      <c r="I75" s="1"/>
    </row>
    <row r="76" spans="1:9" ht="15.75" customHeight="1" thickTop="1" thickBot="1" x14ac:dyDescent="0.3">
      <c r="A76" s="1"/>
      <c r="B76" s="8" t="s">
        <v>183</v>
      </c>
      <c r="C76" s="8" t="s">
        <v>7</v>
      </c>
      <c r="D76" s="9" t="e">
        <f>VLOOKUP(B76,'Nutrition Plan'!$D$48:$F$58,3,0)</f>
        <v>#N/A</v>
      </c>
      <c r="E76" s="10" t="e">
        <f>D76/(28/5)</f>
        <v>#N/A</v>
      </c>
      <c r="F76" s="11" t="e">
        <f>D76/(28/1)</f>
        <v>#N/A</v>
      </c>
      <c r="G76" s="10">
        <v>0</v>
      </c>
      <c r="H76" s="12" t="e">
        <f t="shared" si="22"/>
        <v>#N/A</v>
      </c>
      <c r="I76" s="1"/>
    </row>
    <row r="77" spans="1:9" ht="15.75" customHeight="1" thickTop="1" thickBot="1" x14ac:dyDescent="0.3">
      <c r="A77" s="1"/>
      <c r="B77" s="8" t="s">
        <v>184</v>
      </c>
      <c r="C77" s="8" t="s">
        <v>7</v>
      </c>
      <c r="D77" s="9" t="e">
        <f>VLOOKUP(B77,'Nutrition Plan'!$D$48:$F$58,3,0)</f>
        <v>#N/A</v>
      </c>
      <c r="E77" s="10" t="e">
        <f>D77/(28/6)</f>
        <v>#N/A</v>
      </c>
      <c r="F77" s="11" t="e">
        <f>D77/(28/0.2)</f>
        <v>#N/A</v>
      </c>
      <c r="G77" s="10">
        <v>0</v>
      </c>
      <c r="H77" s="12" t="e">
        <f t="shared" si="22"/>
        <v>#N/A</v>
      </c>
      <c r="I77" s="1"/>
    </row>
    <row r="78" spans="1:9" ht="15.75" customHeight="1" thickTop="1" thickBot="1" x14ac:dyDescent="0.3">
      <c r="A78" s="1"/>
      <c r="B78" s="8" t="s">
        <v>185</v>
      </c>
      <c r="C78" s="8" t="s">
        <v>7</v>
      </c>
      <c r="D78" s="9" t="e">
        <f>VLOOKUP(B78,'Nutrition Plan'!$D$48:$F$58,3,0)</f>
        <v>#N/A</v>
      </c>
      <c r="E78" s="10" t="e">
        <f>D78/(28/6.4)</f>
        <v>#N/A</v>
      </c>
      <c r="F78" s="11" t="e">
        <f>D78/(28/0.5)</f>
        <v>#N/A</v>
      </c>
      <c r="G78" s="10">
        <v>0</v>
      </c>
      <c r="H78" s="12" t="e">
        <f t="shared" si="22"/>
        <v>#N/A</v>
      </c>
      <c r="I78" s="1"/>
    </row>
    <row r="79" spans="1:9" ht="15.75" customHeight="1" thickTop="1" thickBot="1" x14ac:dyDescent="0.3">
      <c r="A79" s="1"/>
      <c r="B79" s="8" t="s">
        <v>186</v>
      </c>
      <c r="C79" s="8" t="s">
        <v>7</v>
      </c>
      <c r="D79" s="9" t="e">
        <f>VLOOKUP(B79,'Nutrition Plan'!$D$48:$F$58,3,0)</f>
        <v>#N/A</v>
      </c>
      <c r="E79" s="10" t="e">
        <f t="shared" ref="E79:E80" si="23">D79/(28/7)</f>
        <v>#N/A</v>
      </c>
      <c r="F79" s="11" t="e">
        <f>D79/(28/1)</f>
        <v>#N/A</v>
      </c>
      <c r="G79" s="10">
        <v>0</v>
      </c>
      <c r="H79" s="12" t="e">
        <f t="shared" si="22"/>
        <v>#N/A</v>
      </c>
      <c r="I79" s="1"/>
    </row>
    <row r="80" spans="1:9" ht="15.75" customHeight="1" thickTop="1" thickBot="1" x14ac:dyDescent="0.3">
      <c r="A80" s="1"/>
      <c r="B80" s="8" t="s">
        <v>187</v>
      </c>
      <c r="C80" s="8" t="s">
        <v>7</v>
      </c>
      <c r="D80" s="9" t="e">
        <f>VLOOKUP(B80,'Nutrition Plan'!$D$48:$F$58,3,0)</f>
        <v>#N/A</v>
      </c>
      <c r="E80" s="10" t="e">
        <f t="shared" si="23"/>
        <v>#N/A</v>
      </c>
      <c r="F80" s="11" t="e">
        <f>D80/(28/0.5)</f>
        <v>#N/A</v>
      </c>
      <c r="G80" s="10">
        <v>0</v>
      </c>
      <c r="H80" s="12" t="e">
        <f t="shared" si="22"/>
        <v>#N/A</v>
      </c>
      <c r="I80" s="1"/>
    </row>
    <row r="81" spans="1:9" ht="15.75" customHeight="1" thickTop="1" thickBot="1" x14ac:dyDescent="0.3">
      <c r="A81" s="1"/>
      <c r="B81" s="8" t="s">
        <v>188</v>
      </c>
      <c r="C81" s="8" t="s">
        <v>7</v>
      </c>
      <c r="D81" s="9" t="e">
        <f>VLOOKUP(B81,'Nutrition Plan'!$D$48:$F$58,3,0)</f>
        <v>#N/A</v>
      </c>
      <c r="E81" s="10" t="e">
        <f>D81/(28/6)</f>
        <v>#N/A</v>
      </c>
      <c r="F81" s="11" t="e">
        <f>D81/(28/0.25)</f>
        <v>#N/A</v>
      </c>
      <c r="G81" s="10">
        <v>0</v>
      </c>
      <c r="H81" s="12" t="e">
        <f t="shared" si="22"/>
        <v>#N/A</v>
      </c>
      <c r="I81" s="1"/>
    </row>
    <row r="82" spans="1:9" ht="15.75" customHeight="1" thickTop="1" thickBot="1" x14ac:dyDescent="0.3">
      <c r="A82" s="1"/>
      <c r="B82" s="8" t="s">
        <v>189</v>
      </c>
      <c r="C82" s="8" t="s">
        <v>7</v>
      </c>
      <c r="D82" s="9" t="e">
        <f>VLOOKUP(B82,'Nutrition Plan'!$D$48:$F$58,3,0)</f>
        <v>#N/A</v>
      </c>
      <c r="E82" s="10" t="e">
        <f>D82/(28/7)</f>
        <v>#N/A</v>
      </c>
      <c r="F82" s="11" t="e">
        <f>D82/(28/0.75)</f>
        <v>#N/A</v>
      </c>
      <c r="G82" s="10">
        <v>0</v>
      </c>
      <c r="H82" s="12" t="e">
        <f t="shared" si="22"/>
        <v>#N/A</v>
      </c>
      <c r="I82" s="1"/>
    </row>
    <row r="83" spans="1:9" ht="15.75" customHeight="1" thickTop="1" thickBot="1" x14ac:dyDescent="0.3">
      <c r="A83" s="1"/>
      <c r="B83" s="8" t="s">
        <v>190</v>
      </c>
      <c r="C83" s="8" t="s">
        <v>7</v>
      </c>
      <c r="D83" s="9" t="e">
        <f>VLOOKUP(B83,'Nutrition Plan'!$D$48:$F$58,3,0)</f>
        <v>#N/A</v>
      </c>
      <c r="E83" s="10" t="e">
        <f>D83/(113/23.98)</f>
        <v>#N/A</v>
      </c>
      <c r="F83" s="11" t="e">
        <f>D83/(113/0.28)</f>
        <v>#N/A</v>
      </c>
      <c r="G83" s="10" t="e">
        <f>D83/(113/0.2)</f>
        <v>#N/A</v>
      </c>
      <c r="H83" s="12" t="e">
        <f t="shared" si="22"/>
        <v>#N/A</v>
      </c>
      <c r="I83" s="1"/>
    </row>
    <row r="84" spans="1:9" ht="15.75" customHeight="1" thickTop="1" thickBot="1" x14ac:dyDescent="0.3">
      <c r="A84" s="1"/>
      <c r="B84" s="8" t="s">
        <v>191</v>
      </c>
      <c r="C84" s="8" t="s">
        <v>7</v>
      </c>
      <c r="D84" s="9" t="e">
        <f>VLOOKUP(B84,'Nutrition Plan'!$D$48:$F$58,3,0)</f>
        <v>#N/A</v>
      </c>
      <c r="E84" s="10" t="e">
        <f>D84/(113/15)</f>
        <v>#N/A</v>
      </c>
      <c r="F84" s="11" t="e">
        <f>D84/(113/5)</f>
        <v>#N/A</v>
      </c>
      <c r="G84" s="10">
        <f t="shared" ref="G84:G85" si="24">0</f>
        <v>0</v>
      </c>
      <c r="H84" s="12" t="e">
        <f t="shared" si="22"/>
        <v>#N/A</v>
      </c>
      <c r="I84" s="1"/>
    </row>
    <row r="85" spans="1:9" ht="15.75" customHeight="1" thickTop="1" thickBot="1" x14ac:dyDescent="0.3">
      <c r="A85" s="1"/>
      <c r="B85" s="8" t="s">
        <v>192</v>
      </c>
      <c r="C85" s="8" t="s">
        <v>7</v>
      </c>
      <c r="D85" s="9" t="e">
        <f>VLOOKUP(B85,'Nutrition Plan'!$D$48:$F$58,3,0)</f>
        <v>#N/A</v>
      </c>
      <c r="E85" s="10" t="e">
        <f>D85/(100/26.15)</f>
        <v>#N/A</v>
      </c>
      <c r="F85" s="11" t="e">
        <f>D85/(100/2.65)</f>
        <v>#N/A</v>
      </c>
      <c r="G85" s="10">
        <f t="shared" si="24"/>
        <v>0</v>
      </c>
      <c r="H85" s="12" t="e">
        <f t="shared" si="22"/>
        <v>#N/A</v>
      </c>
      <c r="I85" s="1"/>
    </row>
    <row r="86" spans="1:9" ht="15.75" customHeight="1" thickTop="1" thickBot="1" x14ac:dyDescent="0.3">
      <c r="A86" s="1"/>
      <c r="B86" s="8" t="s">
        <v>109</v>
      </c>
      <c r="C86" s="8" t="s">
        <v>7</v>
      </c>
      <c r="D86" s="9" t="e">
        <f>VLOOKUP(B86,'Nutrition Plan'!$D$48:$F$58,3,0)</f>
        <v>#N/A</v>
      </c>
      <c r="E86" s="10" t="e">
        <f>D86/(56/13)</f>
        <v>#N/A</v>
      </c>
      <c r="F86" s="11">
        <f t="shared" ref="F86:G90" si="25">0</f>
        <v>0</v>
      </c>
      <c r="G86" s="10">
        <f t="shared" si="25"/>
        <v>0</v>
      </c>
      <c r="H86" s="12" t="e">
        <f t="shared" si="22"/>
        <v>#N/A</v>
      </c>
      <c r="I86" s="1"/>
    </row>
    <row r="87" spans="1:9" ht="15.75" customHeight="1" thickTop="1" thickBot="1" x14ac:dyDescent="0.3">
      <c r="A87" s="1"/>
      <c r="B87" s="8" t="s">
        <v>110</v>
      </c>
      <c r="C87" s="8" t="s">
        <v>7</v>
      </c>
      <c r="D87" s="9" t="e">
        <f>VLOOKUP(B87,'Nutrition Plan'!$D$48:$F$58,3,0)</f>
        <v>#N/A</v>
      </c>
      <c r="E87" s="10" t="e">
        <f>D87/(56/11)</f>
        <v>#N/A</v>
      </c>
      <c r="F87" s="11">
        <f t="shared" si="25"/>
        <v>0</v>
      </c>
      <c r="G87" s="10">
        <f t="shared" si="25"/>
        <v>0</v>
      </c>
      <c r="H87" s="12" t="e">
        <f t="shared" si="22"/>
        <v>#N/A</v>
      </c>
      <c r="I87" s="1"/>
    </row>
    <row r="88" spans="1:9" ht="15.75" customHeight="1" thickTop="1" thickBot="1" x14ac:dyDescent="0.3">
      <c r="A88" s="1"/>
      <c r="B88" s="8" t="s">
        <v>111</v>
      </c>
      <c r="C88" s="8" t="s">
        <v>7</v>
      </c>
      <c r="D88" s="9" t="e">
        <f>VLOOKUP(B88,'Nutrition Plan'!$D$48:$F$58,3,0)</f>
        <v>#N/A</v>
      </c>
      <c r="E88" s="10" t="e">
        <f>D88/(56/13)</f>
        <v>#N/A</v>
      </c>
      <c r="F88" s="11">
        <f t="shared" si="25"/>
        <v>0</v>
      </c>
      <c r="G88" s="10">
        <f t="shared" si="25"/>
        <v>0</v>
      </c>
      <c r="H88" s="12" t="e">
        <f t="shared" si="22"/>
        <v>#N/A</v>
      </c>
      <c r="I88" s="1"/>
    </row>
    <row r="89" spans="1:9" ht="15.75" customHeight="1" thickTop="1" thickBot="1" x14ac:dyDescent="0.3">
      <c r="A89" s="1"/>
      <c r="B89" s="8" t="s">
        <v>193</v>
      </c>
      <c r="C89" s="8" t="s">
        <v>7</v>
      </c>
      <c r="D89" s="9" t="e">
        <f>VLOOKUP(B89,'Nutrition Plan'!$D$48:$F$58,3,0)</f>
        <v>#N/A</v>
      </c>
      <c r="E89" s="10" t="e">
        <f>D89/(85/25.5)</f>
        <v>#N/A</v>
      </c>
      <c r="F89" s="11" t="e">
        <f>D89/(85/1)</f>
        <v>#N/A</v>
      </c>
      <c r="G89" s="10">
        <f t="shared" si="25"/>
        <v>0</v>
      </c>
      <c r="H89" s="12" t="e">
        <f t="shared" si="22"/>
        <v>#N/A</v>
      </c>
      <c r="I89" s="1"/>
    </row>
    <row r="90" spans="1:9" ht="15.75" customHeight="1" thickTop="1" thickBot="1" x14ac:dyDescent="0.3">
      <c r="A90" s="1"/>
      <c r="B90" s="8" t="s">
        <v>194</v>
      </c>
      <c r="C90" s="8" t="s">
        <v>7</v>
      </c>
      <c r="D90" s="9" t="e">
        <f>VLOOKUP(B90,'Nutrition Plan'!$D$48:$F$58,3,0)</f>
        <v>#N/A</v>
      </c>
      <c r="E90" s="10" t="e">
        <f>D90/(100/25.45)</f>
        <v>#N/A</v>
      </c>
      <c r="F90" s="11" t="e">
        <f>D90/(100/8.62)</f>
        <v>#N/A</v>
      </c>
      <c r="G90" s="10">
        <f t="shared" si="25"/>
        <v>0</v>
      </c>
      <c r="H90" s="12" t="e">
        <f t="shared" si="22"/>
        <v>#N/A</v>
      </c>
      <c r="I90" s="1"/>
    </row>
    <row r="91" spans="1:9" ht="15.75" customHeight="1" thickTop="1" thickBot="1" x14ac:dyDescent="0.3">
      <c r="A91" s="1"/>
      <c r="B91" s="8" t="s">
        <v>195</v>
      </c>
      <c r="C91" s="8" t="s">
        <v>7</v>
      </c>
      <c r="D91" s="9" t="e">
        <f>VLOOKUP(B91,'Nutrition Plan'!$D$48:$F$58,3,0)</f>
        <v>#N/A</v>
      </c>
      <c r="E91" s="10" t="e">
        <f>D91/(28/8)</f>
        <v>#N/A</v>
      </c>
      <c r="F91" s="11" t="e">
        <f>D91/(28/1)</f>
        <v>#N/A</v>
      </c>
      <c r="G91" s="10">
        <v>0</v>
      </c>
      <c r="H91" s="12" t="e">
        <f t="shared" si="22"/>
        <v>#N/A</v>
      </c>
      <c r="I91" s="1"/>
    </row>
    <row r="92" spans="1:9" ht="15.75" customHeight="1" thickTop="1" thickBot="1" x14ac:dyDescent="0.3">
      <c r="A92" s="1"/>
      <c r="B92" s="8" t="s">
        <v>196</v>
      </c>
      <c r="C92" s="8" t="s">
        <v>7</v>
      </c>
      <c r="D92" s="9" t="e">
        <f>VLOOKUP(B92,'Nutrition Plan'!$D$48:$F$58,3,0)</f>
        <v>#N/A</v>
      </c>
      <c r="E92" s="10" t="e">
        <f>D92/(100/26.14)</f>
        <v>#N/A</v>
      </c>
      <c r="F92" s="11" t="e">
        <f>D92/(100/11.78)</f>
        <v>#N/A</v>
      </c>
      <c r="G92" s="10">
        <v>0</v>
      </c>
      <c r="H92" s="12" t="e">
        <f t="shared" si="22"/>
        <v>#N/A</v>
      </c>
      <c r="I92" s="1"/>
    </row>
    <row r="93" spans="1:9" ht="15.75" customHeight="1" thickTop="1" thickBot="1" x14ac:dyDescent="0.3">
      <c r="A93" s="1"/>
      <c r="B93" s="8" t="s">
        <v>197</v>
      </c>
      <c r="C93" s="8" t="s">
        <v>7</v>
      </c>
      <c r="D93" s="9" t="e">
        <f>VLOOKUP(B93,'Nutrition Plan'!$D$48:$F$58,3,0)</f>
        <v>#N/A</v>
      </c>
      <c r="E93" s="10" t="e">
        <f>D93/(100/28.88)</f>
        <v>#N/A</v>
      </c>
      <c r="F93" s="11" t="e">
        <f>D93/(100/9.51)</f>
        <v>#N/A</v>
      </c>
      <c r="G93" s="10">
        <v>0</v>
      </c>
      <c r="H93" s="12" t="e">
        <f t="shared" si="22"/>
        <v>#N/A</v>
      </c>
      <c r="I93" s="1"/>
    </row>
    <row r="94" spans="1:9" ht="15.75" customHeight="1" thickTop="1" thickBot="1" x14ac:dyDescent="0.3">
      <c r="A94" s="1"/>
      <c r="B94" s="8" t="s">
        <v>198</v>
      </c>
      <c r="C94" s="8" t="s">
        <v>7</v>
      </c>
      <c r="D94" s="9" t="e">
        <f>VLOOKUP(B94,'Nutrition Plan'!$D$48:$F$58,3,0)</f>
        <v>#N/A</v>
      </c>
      <c r="E94" s="10" t="e">
        <f>D94/(100/29.32)</f>
        <v>#N/A</v>
      </c>
      <c r="F94" s="11" t="e">
        <f>D94/(100/6.52)</f>
        <v>#N/A</v>
      </c>
      <c r="G94" s="10">
        <v>0</v>
      </c>
      <c r="H94" s="12" t="e">
        <f t="shared" si="22"/>
        <v>#N/A</v>
      </c>
      <c r="I94" s="1"/>
    </row>
    <row r="95" spans="1:9" ht="15.75" customHeight="1" thickTop="1" thickBot="1" x14ac:dyDescent="0.3">
      <c r="A95" s="1"/>
      <c r="B95" s="8" t="s">
        <v>199</v>
      </c>
      <c r="C95" s="8" t="s">
        <v>7</v>
      </c>
      <c r="D95" s="9" t="e">
        <f>VLOOKUP(B95,'Nutrition Plan'!$D$48:$F$58,3,0)</f>
        <v>#N/A</v>
      </c>
      <c r="E95" s="10" t="e">
        <f>D95/(84/23)</f>
        <v>#N/A</v>
      </c>
      <c r="F95" s="11" t="e">
        <f>D95/(84/1.5)</f>
        <v>#N/A</v>
      </c>
      <c r="G95" s="10">
        <f t="shared" ref="G95:G97" si="26">0</f>
        <v>0</v>
      </c>
      <c r="H95" s="12" t="e">
        <f t="shared" si="22"/>
        <v>#N/A</v>
      </c>
      <c r="I95" s="1"/>
    </row>
    <row r="96" spans="1:9" ht="15.75" customHeight="1" thickTop="1" thickBot="1" x14ac:dyDescent="0.3">
      <c r="A96" s="1"/>
      <c r="B96" s="8" t="s">
        <v>200</v>
      </c>
      <c r="C96" s="8" t="s">
        <v>7</v>
      </c>
      <c r="D96" s="9" t="e">
        <f>VLOOKUP(B96,'Nutrition Plan'!$D$48:$F$58,3,0)</f>
        <v>#N/A</v>
      </c>
      <c r="E96" s="10" t="e">
        <f>D96/(94/26)</f>
        <v>#N/A</v>
      </c>
      <c r="F96" s="11" t="e">
        <f>D96/(94/1)</f>
        <v>#N/A</v>
      </c>
      <c r="G96" s="10">
        <f t="shared" si="26"/>
        <v>0</v>
      </c>
      <c r="H96" s="12" t="e">
        <f t="shared" si="22"/>
        <v>#N/A</v>
      </c>
      <c r="I96" s="1"/>
    </row>
    <row r="97" spans="1:9" ht="15.75" customHeight="1" thickTop="1" thickBot="1" x14ac:dyDescent="0.3">
      <c r="A97" s="1"/>
      <c r="B97" s="8" t="s">
        <v>201</v>
      </c>
      <c r="C97" s="8" t="s">
        <v>7</v>
      </c>
      <c r="D97" s="9" t="e">
        <f>VLOOKUP(B97,'Nutrition Plan'!$D$48:$F$58,3,0)</f>
        <v>#N/A</v>
      </c>
      <c r="E97" s="10" t="e">
        <f>D97/(100/31)</f>
        <v>#N/A</v>
      </c>
      <c r="F97" s="11" t="e">
        <f>D97/(100/3.8)</f>
        <v>#N/A</v>
      </c>
      <c r="G97" s="10">
        <f t="shared" si="26"/>
        <v>0</v>
      </c>
      <c r="H97" s="12" t="e">
        <f t="shared" si="22"/>
        <v>#N/A</v>
      </c>
      <c r="I97" s="1"/>
    </row>
    <row r="98" spans="1:9" ht="15.75" customHeight="1" thickTop="1" thickBot="1" x14ac:dyDescent="0.3">
      <c r="A98" s="1"/>
      <c r="B98" s="8" t="s">
        <v>202</v>
      </c>
      <c r="C98" s="8" t="s">
        <v>7</v>
      </c>
      <c r="D98" s="9" t="e">
        <f>VLOOKUP(B98,'Nutrition Plan'!$D$48:$F$58,3,0)</f>
        <v>#N/A</v>
      </c>
      <c r="E98" s="10" t="e">
        <f>D98/(28/6.57)</f>
        <v>#N/A</v>
      </c>
      <c r="F98" s="11" t="e">
        <f>D98/(28/3.14)</f>
        <v>#N/A</v>
      </c>
      <c r="G98" s="10">
        <v>0</v>
      </c>
      <c r="H98" s="12" t="e">
        <f t="shared" si="22"/>
        <v>#N/A</v>
      </c>
      <c r="I98" s="1"/>
    </row>
    <row r="99" spans="1:9" ht="15.75" customHeight="1" thickTop="1" thickBot="1" x14ac:dyDescent="0.3">
      <c r="A99" s="1"/>
      <c r="B99" s="8" t="s">
        <v>112</v>
      </c>
      <c r="C99" s="8" t="s">
        <v>22</v>
      </c>
      <c r="D99" s="9" t="e">
        <f>VLOOKUP(B99,'Nutrition Plan'!$D$48:$F$58,3,0)</f>
        <v>#N/A</v>
      </c>
      <c r="E99" s="10" t="e">
        <f>D99/(28/6)</f>
        <v>#N/A</v>
      </c>
      <c r="F99" s="11" t="e">
        <f>D99/(28/1.5)</f>
        <v>#N/A</v>
      </c>
      <c r="G99" s="10" t="e">
        <f>D99/(28/1)</f>
        <v>#N/A</v>
      </c>
      <c r="H99" s="12" t="e">
        <f t="shared" si="22"/>
        <v>#N/A</v>
      </c>
      <c r="I99" s="1"/>
    </row>
    <row r="100" spans="1:9" ht="15.75" customHeight="1" thickTop="1" thickBot="1" x14ac:dyDescent="0.3">
      <c r="A100" s="1"/>
      <c r="B100" s="8" t="s">
        <v>113</v>
      </c>
      <c r="C100" s="8" t="s">
        <v>114</v>
      </c>
      <c r="D100" s="9" t="e">
        <f>VLOOKUP(B100,'Nutrition Plan'!$D$48:$F$58,3,0)</f>
        <v>#N/A</v>
      </c>
      <c r="E100" s="10" t="e">
        <f>D100/(1/21)</f>
        <v>#N/A</v>
      </c>
      <c r="F100" s="11" t="e">
        <f t="shared" ref="F100:F101" si="27">D100/(1/9)</f>
        <v>#N/A</v>
      </c>
      <c r="G100" s="10">
        <f t="shared" ref="G100:G101" si="28">0</f>
        <v>0</v>
      </c>
      <c r="H100" s="12" t="e">
        <f t="shared" si="22"/>
        <v>#N/A</v>
      </c>
      <c r="I100" s="1"/>
    </row>
    <row r="101" spans="1:9" ht="15.75" customHeight="1" thickTop="1" thickBot="1" x14ac:dyDescent="0.3">
      <c r="A101" s="1"/>
      <c r="B101" s="8" t="s">
        <v>115</v>
      </c>
      <c r="C101" s="8" t="s">
        <v>114</v>
      </c>
      <c r="D101" s="9" t="e">
        <f>VLOOKUP(B101,'Nutrition Plan'!$D$48:$F$58,3,0)</f>
        <v>#N/A</v>
      </c>
      <c r="E101" s="10" t="e">
        <f>D101/(1/20)</f>
        <v>#N/A</v>
      </c>
      <c r="F101" s="11" t="e">
        <f t="shared" si="27"/>
        <v>#N/A</v>
      </c>
      <c r="G101" s="10">
        <f t="shared" si="28"/>
        <v>0</v>
      </c>
      <c r="H101" s="12" t="e">
        <f t="shared" si="22"/>
        <v>#N/A</v>
      </c>
      <c r="I101" s="1"/>
    </row>
    <row r="102" spans="1:9" ht="15.75" customHeight="1" thickTop="1" thickBot="1" x14ac:dyDescent="0.3">
      <c r="A102" s="1"/>
      <c r="B102" s="8" t="s">
        <v>116</v>
      </c>
      <c r="C102" s="8" t="s">
        <v>7</v>
      </c>
      <c r="D102" s="9" t="e">
        <f>VLOOKUP(B102,'Nutrition Plan'!$D$48:$F$58,3,0)</f>
        <v>#N/A</v>
      </c>
      <c r="E102" s="10" t="e">
        <f>D102/(28/6)</f>
        <v>#N/A</v>
      </c>
      <c r="F102" s="11" t="e">
        <f>D102/(28/1.5)</f>
        <v>#N/A</v>
      </c>
      <c r="G102" s="10">
        <v>0</v>
      </c>
      <c r="H102" s="12" t="e">
        <f t="shared" si="22"/>
        <v>#N/A</v>
      </c>
      <c r="I102" s="1"/>
    </row>
    <row r="103" spans="1:9" ht="15.75" customHeight="1" thickTop="1" thickBot="1" x14ac:dyDescent="0.3">
      <c r="A103" s="1"/>
      <c r="B103" s="8" t="s">
        <v>117</v>
      </c>
      <c r="C103" s="8" t="s">
        <v>7</v>
      </c>
      <c r="D103" s="9" t="e">
        <f>VLOOKUP(B103,'Nutrition Plan'!$D$48:$F$58,3,0)</f>
        <v>#N/A</v>
      </c>
      <c r="E103" s="10" t="e">
        <f>D103/(28/5.28)</f>
        <v>#N/A</v>
      </c>
      <c r="F103" s="11" t="e">
        <f>D103/(28/2.13)</f>
        <v>#N/A</v>
      </c>
      <c r="G103" s="10">
        <v>0</v>
      </c>
      <c r="H103" s="12" t="e">
        <f t="shared" si="22"/>
        <v>#N/A</v>
      </c>
      <c r="I103" s="1"/>
    </row>
    <row r="104" spans="1:9" ht="15.75" customHeight="1" thickTop="1" thickBot="1" x14ac:dyDescent="0.3">
      <c r="A104" s="1"/>
      <c r="B104" s="8" t="s">
        <v>203</v>
      </c>
      <c r="C104" s="8" t="s">
        <v>7</v>
      </c>
      <c r="D104" s="9" t="e">
        <f>VLOOKUP(B104,'Nutrition Plan'!$D$48:$F$58,3,0)</f>
        <v>#N/A</v>
      </c>
      <c r="E104" s="10" t="e">
        <f t="shared" ref="E104:E105" si="29">D104/(28/8)</f>
        <v>#N/A</v>
      </c>
      <c r="F104" s="11" t="e">
        <f t="shared" ref="F104:F105" si="30">D104/(28/3)</f>
        <v>#N/A</v>
      </c>
      <c r="G104" s="10">
        <v>0</v>
      </c>
      <c r="H104" s="12" t="e">
        <f t="shared" si="22"/>
        <v>#N/A</v>
      </c>
      <c r="I104" s="1"/>
    </row>
    <row r="105" spans="1:9" ht="15.75" customHeight="1" thickTop="1" thickBot="1" x14ac:dyDescent="0.3">
      <c r="A105" s="1"/>
      <c r="B105" s="8" t="s">
        <v>204</v>
      </c>
      <c r="C105" s="8" t="s">
        <v>7</v>
      </c>
      <c r="D105" s="9" t="e">
        <f>VLOOKUP(B105,'Nutrition Plan'!$D$48:$F$58,3,0)</f>
        <v>#N/A</v>
      </c>
      <c r="E105" s="10" t="e">
        <f t="shared" si="29"/>
        <v>#N/A</v>
      </c>
      <c r="F105" s="11" t="e">
        <f t="shared" si="30"/>
        <v>#N/A</v>
      </c>
      <c r="G105" s="10">
        <v>0</v>
      </c>
      <c r="H105" s="12" t="e">
        <f t="shared" si="22"/>
        <v>#N/A</v>
      </c>
      <c r="I105" s="1"/>
    </row>
    <row r="106" spans="1:9" ht="15.75" customHeight="1" thickTop="1" thickBot="1" x14ac:dyDescent="0.3">
      <c r="A106" s="1"/>
      <c r="B106" s="8" t="s">
        <v>205</v>
      </c>
      <c r="C106" s="8" t="s">
        <v>7</v>
      </c>
      <c r="D106" s="9" t="e">
        <f>VLOOKUP(B106,'Nutrition Plan'!$D$48:$F$58,3,0)</f>
        <v>#N/A</v>
      </c>
      <c r="E106" s="10" t="e">
        <f>D106/(100/22.7)</f>
        <v>#N/A</v>
      </c>
      <c r="F106" s="11" t="e">
        <f>D106/(100/3.8)</f>
        <v>#N/A</v>
      </c>
      <c r="G106" s="10">
        <f t="shared" ref="G106:G108" si="31">0</f>
        <v>0</v>
      </c>
      <c r="H106" s="12" t="e">
        <f t="shared" si="22"/>
        <v>#N/A</v>
      </c>
      <c r="I106" s="1"/>
    </row>
    <row r="107" spans="1:9" ht="15.75" customHeight="1" thickTop="1" thickBot="1" x14ac:dyDescent="0.3">
      <c r="A107" s="1"/>
      <c r="B107" s="8" t="s">
        <v>206</v>
      </c>
      <c r="C107" s="8" t="s">
        <v>7</v>
      </c>
      <c r="D107" s="9" t="e">
        <f>VLOOKUP(B107,'Nutrition Plan'!$D$48:$F$58,3,0)</f>
        <v>#N/A</v>
      </c>
      <c r="E107" s="10" t="e">
        <f>D107/(100/30.24)</f>
        <v>#N/A</v>
      </c>
      <c r="F107" s="11" t="e">
        <f>D107/(100/4.11)</f>
        <v>#N/A</v>
      </c>
      <c r="G107" s="10">
        <f t="shared" si="31"/>
        <v>0</v>
      </c>
      <c r="H107" s="12" t="e">
        <f t="shared" si="22"/>
        <v>#N/A</v>
      </c>
      <c r="I107" s="1"/>
    </row>
    <row r="108" spans="1:9" ht="15.75" customHeight="1" thickTop="1" thickBot="1" x14ac:dyDescent="0.3">
      <c r="A108" s="1"/>
      <c r="B108" s="8" t="s">
        <v>207</v>
      </c>
      <c r="C108" s="8" t="s">
        <v>7</v>
      </c>
      <c r="D108" s="9" t="e">
        <f>VLOOKUP(B108,'Nutrition Plan'!$D$48:$F$58,3,0)</f>
        <v>#N/A</v>
      </c>
      <c r="E108" s="10" t="e">
        <f>D108/(100/30.7)</f>
        <v>#N/A</v>
      </c>
      <c r="F108" s="11" t="e">
        <f>D108/(100/10.27)</f>
        <v>#N/A</v>
      </c>
      <c r="G108" s="10">
        <f t="shared" si="31"/>
        <v>0</v>
      </c>
      <c r="H108" s="12" t="e">
        <f t="shared" si="22"/>
        <v>#N/A</v>
      </c>
      <c r="I108" s="1"/>
    </row>
    <row r="109" spans="1:9" ht="15.75" customHeight="1" thickTop="1" x14ac:dyDescent="0.3">
      <c r="A109" s="1"/>
      <c r="B109" s="173" t="s">
        <v>36</v>
      </c>
      <c r="C109" s="174"/>
      <c r="D109" s="174"/>
      <c r="E109" s="174"/>
      <c r="F109" s="174"/>
      <c r="G109" s="174"/>
      <c r="H109" s="134"/>
      <c r="I109" s="1"/>
    </row>
    <row r="110" spans="1:9" ht="15.75" customHeight="1" thickBot="1" x14ac:dyDescent="0.3">
      <c r="A110" s="1"/>
      <c r="B110" s="8" t="s">
        <v>118</v>
      </c>
      <c r="C110" s="8" t="s">
        <v>7</v>
      </c>
      <c r="D110" s="9" t="e">
        <f>VLOOKUP(B110,'Nutrition Plan'!$D$48:$F$58,3,0)</f>
        <v>#N/A</v>
      </c>
      <c r="E110" s="10" t="e">
        <f>D110/(32.5/25)</f>
        <v>#N/A</v>
      </c>
      <c r="F110" s="11" t="e">
        <f>D110/(32.5/1)</f>
        <v>#N/A</v>
      </c>
      <c r="G110" s="10" t="e">
        <f>D110/(32.5/3)</f>
        <v>#N/A</v>
      </c>
      <c r="H110" s="12" t="e">
        <f t="shared" ref="H110:H131" si="32">(E110*4)+(F110*9)+(G110*4)</f>
        <v>#N/A</v>
      </c>
      <c r="I110" s="1"/>
    </row>
    <row r="111" spans="1:9" ht="15.75" customHeight="1" thickTop="1" thickBot="1" x14ac:dyDescent="0.3">
      <c r="A111" s="1"/>
      <c r="B111" s="8" t="s">
        <v>119</v>
      </c>
      <c r="C111" s="8" t="s">
        <v>7</v>
      </c>
      <c r="D111" s="9" t="e">
        <f>VLOOKUP(B111,'Nutrition Plan'!$D$48:$F$58,3,0)</f>
        <v>#N/A</v>
      </c>
      <c r="E111" s="10" t="e">
        <f>D111/(32/25)</f>
        <v>#N/A</v>
      </c>
      <c r="F111" s="11" t="e">
        <f>D111/(32/1.5)</f>
        <v>#N/A</v>
      </c>
      <c r="G111" s="10" t="e">
        <f>D111/(32/3)</f>
        <v>#N/A</v>
      </c>
      <c r="H111" s="12" t="e">
        <f t="shared" si="32"/>
        <v>#N/A</v>
      </c>
      <c r="I111" s="1"/>
    </row>
    <row r="112" spans="1:9" ht="15.75" customHeight="1" thickTop="1" thickBot="1" x14ac:dyDescent="0.3">
      <c r="A112" s="1"/>
      <c r="B112" s="8" t="s">
        <v>120</v>
      </c>
      <c r="C112" s="8" t="s">
        <v>7</v>
      </c>
      <c r="D112" s="9" t="e">
        <f>VLOOKUP(B112,'Nutrition Plan'!$D$48:$F$58,3,0)</f>
        <v>#N/A</v>
      </c>
      <c r="E112" s="10" t="e">
        <f>D112/(36/25)</f>
        <v>#N/A</v>
      </c>
      <c r="F112" s="11" t="e">
        <f>D112/(36/1.5)</f>
        <v>#N/A</v>
      </c>
      <c r="G112" s="10" t="e">
        <f>D112/(36/3)</f>
        <v>#N/A</v>
      </c>
      <c r="H112" s="12" t="e">
        <f t="shared" si="32"/>
        <v>#N/A</v>
      </c>
      <c r="I112" s="1"/>
    </row>
    <row r="113" spans="1:9" ht="15.75" customHeight="1" thickTop="1" thickBot="1" x14ac:dyDescent="0.3">
      <c r="A113" s="1"/>
      <c r="B113" s="8" t="s">
        <v>121</v>
      </c>
      <c r="C113" s="8" t="s">
        <v>7</v>
      </c>
      <c r="D113" s="9" t="e">
        <f>VLOOKUP(B113,'Nutrition Plan'!$D$48:$F$58,3,0)</f>
        <v>#N/A</v>
      </c>
      <c r="E113" s="10" t="e">
        <f t="shared" ref="E113:E114" si="33">D113/(33/25)</f>
        <v>#N/A</v>
      </c>
      <c r="F113" s="11" t="e">
        <f t="shared" ref="F113:F114" si="34">D113/(33/1.5)</f>
        <v>#N/A</v>
      </c>
      <c r="G113" s="10" t="e">
        <f t="shared" ref="G113:G114" si="35">D113/(33/3)</f>
        <v>#N/A</v>
      </c>
      <c r="H113" s="12" t="e">
        <f t="shared" si="32"/>
        <v>#N/A</v>
      </c>
      <c r="I113" s="1"/>
    </row>
    <row r="114" spans="1:9" ht="15.75" customHeight="1" thickTop="1" thickBot="1" x14ac:dyDescent="0.3">
      <c r="A114" s="1"/>
      <c r="B114" s="8" t="s">
        <v>122</v>
      </c>
      <c r="C114" s="8" t="s">
        <v>7</v>
      </c>
      <c r="D114" s="9" t="e">
        <f>VLOOKUP(B114,'Nutrition Plan'!$D$48:$F$58,3,0)</f>
        <v>#N/A</v>
      </c>
      <c r="E114" s="10" t="e">
        <f t="shared" si="33"/>
        <v>#N/A</v>
      </c>
      <c r="F114" s="11" t="e">
        <f t="shared" si="34"/>
        <v>#N/A</v>
      </c>
      <c r="G114" s="10" t="e">
        <f t="shared" si="35"/>
        <v>#N/A</v>
      </c>
      <c r="H114" s="12" t="e">
        <f t="shared" si="32"/>
        <v>#N/A</v>
      </c>
      <c r="I114" s="1"/>
    </row>
    <row r="115" spans="1:9" ht="15.75" customHeight="1" thickTop="1" thickBot="1" x14ac:dyDescent="0.3">
      <c r="A115" s="1"/>
      <c r="B115" s="8" t="s">
        <v>123</v>
      </c>
      <c r="C115" s="8" t="s">
        <v>7</v>
      </c>
      <c r="D115" s="9" t="e">
        <f>VLOOKUP(B115,'Nutrition Plan'!$D$48:$F$58,3,0)</f>
        <v>#N/A</v>
      </c>
      <c r="E115" s="10" t="e">
        <f>D115/(36/25)</f>
        <v>#N/A</v>
      </c>
      <c r="F115" s="11" t="e">
        <f>D115/(36/1.5)</f>
        <v>#N/A</v>
      </c>
      <c r="G115" s="10" t="e">
        <f>D115/(36/5)</f>
        <v>#N/A</v>
      </c>
      <c r="H115" s="12" t="e">
        <f t="shared" si="32"/>
        <v>#N/A</v>
      </c>
      <c r="I115" s="1"/>
    </row>
    <row r="116" spans="1:9" ht="15.75" customHeight="1" thickTop="1" thickBot="1" x14ac:dyDescent="0.3">
      <c r="A116" s="1"/>
      <c r="B116" s="8" t="s">
        <v>124</v>
      </c>
      <c r="C116" s="8" t="s">
        <v>7</v>
      </c>
      <c r="D116" s="9" t="e">
        <f>VLOOKUP(B116,'Nutrition Plan'!$D$48:$F$58,3,0)</f>
        <v>#N/A</v>
      </c>
      <c r="E116" s="10" t="e">
        <f>D116/(29/25)</f>
        <v>#N/A</v>
      </c>
      <c r="F116" s="11">
        <f>0</f>
        <v>0</v>
      </c>
      <c r="G116" s="10" t="e">
        <f>D116/(29/1)</f>
        <v>#N/A</v>
      </c>
      <c r="H116" s="12" t="e">
        <f t="shared" si="32"/>
        <v>#N/A</v>
      </c>
      <c r="I116" s="1"/>
    </row>
    <row r="117" spans="1:9" ht="15.75" customHeight="1" thickTop="1" thickBot="1" x14ac:dyDescent="0.3">
      <c r="A117" s="1"/>
      <c r="B117" s="8" t="s">
        <v>125</v>
      </c>
      <c r="C117" s="8" t="s">
        <v>7</v>
      </c>
      <c r="D117" s="9" t="e">
        <f>VLOOKUP(B117,'Nutrition Plan'!$D$48:$F$58,3,0)</f>
        <v>#N/A</v>
      </c>
      <c r="E117" s="10" t="e">
        <f>D117/(31/25)</f>
        <v>#N/A</v>
      </c>
      <c r="F117" s="11" t="e">
        <f>D117/(31/0.5)</f>
        <v>#N/A</v>
      </c>
      <c r="G117" s="10" t="e">
        <f>D117/(31/2)</f>
        <v>#N/A</v>
      </c>
      <c r="H117" s="12" t="e">
        <f t="shared" si="32"/>
        <v>#N/A</v>
      </c>
      <c r="I117" s="1"/>
    </row>
    <row r="118" spans="1:9" ht="15.75" customHeight="1" thickTop="1" thickBot="1" x14ac:dyDescent="0.3">
      <c r="A118" s="1"/>
      <c r="B118" s="8" t="s">
        <v>126</v>
      </c>
      <c r="C118" s="8" t="s">
        <v>7</v>
      </c>
      <c r="D118" s="9" t="e">
        <f>VLOOKUP(B118,'Nutrition Plan'!$D$48:$F$58,3,0)</f>
        <v>#N/A</v>
      </c>
      <c r="E118" s="10" t="e">
        <f>D118/(30.1/25)</f>
        <v>#N/A</v>
      </c>
      <c r="F118" s="11">
        <f t="shared" ref="F118:F119" si="36">0</f>
        <v>0</v>
      </c>
      <c r="G118" s="10" t="e">
        <f>D118/(30.1/1)</f>
        <v>#N/A</v>
      </c>
      <c r="H118" s="12" t="e">
        <f t="shared" si="32"/>
        <v>#N/A</v>
      </c>
      <c r="I118" s="1"/>
    </row>
    <row r="119" spans="1:9" ht="15.75" customHeight="1" thickTop="1" thickBot="1" x14ac:dyDescent="0.3">
      <c r="A119" s="1"/>
      <c r="B119" s="8" t="s">
        <v>127</v>
      </c>
      <c r="C119" s="8" t="s">
        <v>7</v>
      </c>
      <c r="D119" s="9" t="e">
        <f>VLOOKUP(B119,'Nutrition Plan'!$D$48:$F$58,3,0)</f>
        <v>#N/A</v>
      </c>
      <c r="E119" s="10" t="e">
        <f>D119/(29/25)</f>
        <v>#N/A</v>
      </c>
      <c r="F119" s="11">
        <f t="shared" si="36"/>
        <v>0</v>
      </c>
      <c r="G119" s="10" t="e">
        <f>D119/(29/1)</f>
        <v>#N/A</v>
      </c>
      <c r="H119" s="12" t="e">
        <f t="shared" si="32"/>
        <v>#N/A</v>
      </c>
      <c r="I119" s="1"/>
    </row>
    <row r="120" spans="1:9" ht="15.75" customHeight="1" thickTop="1" thickBot="1" x14ac:dyDescent="0.3">
      <c r="A120" s="1"/>
      <c r="B120" s="8" t="s">
        <v>128</v>
      </c>
      <c r="C120" s="8" t="s">
        <v>7</v>
      </c>
      <c r="D120" s="9" t="e">
        <f>VLOOKUP(B120,'Nutrition Plan'!$D$48:$F$58,3,0)</f>
        <v>#N/A</v>
      </c>
      <c r="E120" s="10" t="e">
        <f>D120/(39.5/24)</f>
        <v>#N/A</v>
      </c>
      <c r="F120" s="11" t="e">
        <f>D120/(39.5/3.5)</f>
        <v>#N/A</v>
      </c>
      <c r="G120" s="10" t="e">
        <f>D120/(39.5/8)</f>
        <v>#N/A</v>
      </c>
      <c r="H120" s="12" t="e">
        <f t="shared" si="32"/>
        <v>#N/A</v>
      </c>
      <c r="I120" s="1"/>
    </row>
    <row r="121" spans="1:9" ht="15.75" customHeight="1" thickTop="1" thickBot="1" x14ac:dyDescent="0.3">
      <c r="A121" s="1"/>
      <c r="B121" s="8" t="s">
        <v>129</v>
      </c>
      <c r="C121" s="8" t="s">
        <v>7</v>
      </c>
      <c r="D121" s="9" t="e">
        <f>VLOOKUP(B121,'Nutrition Plan'!$D$48:$F$58,3,0)</f>
        <v>#N/A</v>
      </c>
      <c r="E121" s="10" t="e">
        <f>D121/(36.5/24)</f>
        <v>#N/A</v>
      </c>
      <c r="F121" s="11" t="e">
        <f>D121/(36.5/3.5)</f>
        <v>#N/A</v>
      </c>
      <c r="G121" s="10" t="e">
        <f>D121/(36.5/5)</f>
        <v>#N/A</v>
      </c>
      <c r="H121" s="12" t="e">
        <f t="shared" si="32"/>
        <v>#N/A</v>
      </c>
      <c r="I121" s="1"/>
    </row>
    <row r="122" spans="1:9" ht="15.75" customHeight="1" thickTop="1" thickBot="1" x14ac:dyDescent="0.3">
      <c r="A122" s="1"/>
      <c r="B122" s="8" t="s">
        <v>130</v>
      </c>
      <c r="C122" s="8" t="s">
        <v>7</v>
      </c>
      <c r="D122" s="9" t="e">
        <f>VLOOKUP(B122,'Nutrition Plan'!$D$48:$F$58,3,0)</f>
        <v>#N/A</v>
      </c>
      <c r="E122" s="10" t="e">
        <f>D122/(37.1/24)</f>
        <v>#N/A</v>
      </c>
      <c r="F122" s="11" t="e">
        <f>D122/(37.1/3.5)</f>
        <v>#N/A</v>
      </c>
      <c r="G122" s="10" t="e">
        <f>D122/(37.1/6)</f>
        <v>#N/A</v>
      </c>
      <c r="H122" s="12" t="e">
        <f t="shared" si="32"/>
        <v>#N/A</v>
      </c>
      <c r="I122" s="1"/>
    </row>
    <row r="123" spans="1:9" ht="15.75" customHeight="1" thickTop="1" thickBot="1" x14ac:dyDescent="0.3">
      <c r="A123" s="1"/>
      <c r="B123" s="8" t="s">
        <v>131</v>
      </c>
      <c r="C123" s="8" t="s">
        <v>7</v>
      </c>
      <c r="D123" s="9" t="e">
        <f>VLOOKUP(B123,'Nutrition Plan'!$D$48:$F$58,3,0)</f>
        <v>#N/A</v>
      </c>
      <c r="E123" s="10" t="e">
        <f>D123/(36.3/24)</f>
        <v>#N/A</v>
      </c>
      <c r="F123" s="11" t="e">
        <f>D123/(36.3/3.5)</f>
        <v>#N/A</v>
      </c>
      <c r="G123" s="10" t="e">
        <f>D123/(36.3/5)</f>
        <v>#N/A</v>
      </c>
      <c r="H123" s="12" t="e">
        <f t="shared" si="32"/>
        <v>#N/A</v>
      </c>
      <c r="I123" s="1"/>
    </row>
    <row r="124" spans="1:9" ht="15.75" customHeight="1" thickTop="1" thickBot="1" x14ac:dyDescent="0.3">
      <c r="A124" s="1"/>
      <c r="B124" s="8" t="s">
        <v>132</v>
      </c>
      <c r="C124" s="8" t="s">
        <v>7</v>
      </c>
      <c r="D124" s="9" t="e">
        <f>VLOOKUP(B124,'Nutrition Plan'!$D$48:$F$58,3,0)</f>
        <v>#N/A</v>
      </c>
      <c r="E124" s="10" t="e">
        <f>D124/(23/20)</f>
        <v>#N/A</v>
      </c>
      <c r="F124" s="11" t="e">
        <f>D124/(23/0.56)</f>
        <v>#N/A</v>
      </c>
      <c r="G124" s="10">
        <f>0</f>
        <v>0</v>
      </c>
      <c r="H124" s="12" t="e">
        <f t="shared" si="32"/>
        <v>#N/A</v>
      </c>
      <c r="I124" s="1"/>
    </row>
    <row r="125" spans="1:9" ht="15.75" customHeight="1" thickTop="1" thickBot="1" x14ac:dyDescent="0.3">
      <c r="A125" s="1"/>
      <c r="B125" s="8" t="s">
        <v>133</v>
      </c>
      <c r="C125" s="8" t="s">
        <v>134</v>
      </c>
      <c r="D125" s="9" t="e">
        <f>VLOOKUP(B125,'Nutrition Plan'!$D$48:$F$58,3,0)</f>
        <v>#N/A</v>
      </c>
      <c r="E125" s="10" t="e">
        <f>D125/(1/23)</f>
        <v>#N/A</v>
      </c>
      <c r="F125" s="11" t="e">
        <f>D125/(1/8)</f>
        <v>#N/A</v>
      </c>
      <c r="G125" s="10" t="e">
        <f>D125/(1/21)</f>
        <v>#N/A</v>
      </c>
      <c r="H125" s="12" t="e">
        <f t="shared" si="32"/>
        <v>#N/A</v>
      </c>
      <c r="I125" s="1"/>
    </row>
    <row r="126" spans="1:9" ht="15.75" customHeight="1" thickTop="1" thickBot="1" x14ac:dyDescent="0.3">
      <c r="A126" s="1"/>
      <c r="B126" s="8" t="s">
        <v>135</v>
      </c>
      <c r="C126" s="8" t="s">
        <v>134</v>
      </c>
      <c r="D126" s="9" t="e">
        <f>VLOOKUP(B126,'Nutrition Plan'!$D$48:$F$58,3,0)</f>
        <v>#N/A</v>
      </c>
      <c r="E126" s="10" t="e">
        <f>D126/(1/13)</f>
        <v>#N/A</v>
      </c>
      <c r="F126" s="11" t="e">
        <f>D126/(1/12)</f>
        <v>#N/A</v>
      </c>
      <c r="G126" s="10" t="e">
        <f>D126/(1/10)</f>
        <v>#N/A</v>
      </c>
      <c r="H126" s="12" t="e">
        <f t="shared" si="32"/>
        <v>#N/A</v>
      </c>
      <c r="I126" s="1"/>
    </row>
    <row r="127" spans="1:9" ht="15.75" customHeight="1" thickTop="1" thickBot="1" x14ac:dyDescent="0.3">
      <c r="A127" s="1"/>
      <c r="B127" s="8" t="s">
        <v>136</v>
      </c>
      <c r="C127" s="8" t="s">
        <v>134</v>
      </c>
      <c r="D127" s="9" t="e">
        <f>VLOOKUP(B127,'Nutrition Plan'!$D$48:$F$58,3,0)</f>
        <v>#N/A</v>
      </c>
      <c r="E127" s="10" t="e">
        <f t="shared" ref="E127:E128" si="37">D127/(1/21)</f>
        <v>#N/A</v>
      </c>
      <c r="F127" s="11" t="e">
        <f>D127/(1/8)</f>
        <v>#N/A</v>
      </c>
      <c r="G127" s="10" t="e">
        <f t="shared" ref="G127:G128" si="38">D127/(1/5)</f>
        <v>#N/A</v>
      </c>
      <c r="H127" s="12" t="e">
        <f t="shared" si="32"/>
        <v>#N/A</v>
      </c>
      <c r="I127" s="1"/>
    </row>
    <row r="128" spans="1:9" ht="15.75" customHeight="1" thickTop="1" thickBot="1" x14ac:dyDescent="0.3">
      <c r="A128" s="1"/>
      <c r="B128" s="8" t="s">
        <v>137</v>
      </c>
      <c r="C128" s="8" t="s">
        <v>134</v>
      </c>
      <c r="D128" s="9" t="e">
        <f>VLOOKUP(B128,'Nutrition Plan'!$D$48:$F$58,3,0)</f>
        <v>#N/A</v>
      </c>
      <c r="E128" s="10" t="e">
        <f t="shared" si="37"/>
        <v>#N/A</v>
      </c>
      <c r="F128" s="11" t="e">
        <f>D128/(1/7)</f>
        <v>#N/A</v>
      </c>
      <c r="G128" s="10" t="e">
        <f t="shared" si="38"/>
        <v>#N/A</v>
      </c>
      <c r="H128" s="12" t="e">
        <f t="shared" si="32"/>
        <v>#N/A</v>
      </c>
      <c r="I128" s="1"/>
    </row>
    <row r="129" spans="1:9" ht="15.75" customHeight="1" thickTop="1" thickBot="1" x14ac:dyDescent="0.3">
      <c r="A129" s="1"/>
      <c r="B129" s="8" t="s">
        <v>138</v>
      </c>
      <c r="C129" s="8" t="s">
        <v>134</v>
      </c>
      <c r="D129" s="9" t="e">
        <f>VLOOKUP(B129,'Nutrition Plan'!$D$48:$F$58,3,0)</f>
        <v>#N/A</v>
      </c>
      <c r="E129" s="10" t="e">
        <f t="shared" ref="E129:E131" si="39">D129/(1/20)</f>
        <v>#N/A</v>
      </c>
      <c r="F129" s="11" t="e">
        <f>D129/(1/9)</f>
        <v>#N/A</v>
      </c>
      <c r="G129" s="10" t="e">
        <f>D129/(1/4)</f>
        <v>#N/A</v>
      </c>
      <c r="H129" s="12" t="e">
        <f t="shared" si="32"/>
        <v>#N/A</v>
      </c>
      <c r="I129" s="1"/>
    </row>
    <row r="130" spans="1:9" ht="15.75" customHeight="1" thickTop="1" thickBot="1" x14ac:dyDescent="0.3">
      <c r="A130" s="1"/>
      <c r="B130" s="8" t="s">
        <v>139</v>
      </c>
      <c r="C130" s="8" t="s">
        <v>134</v>
      </c>
      <c r="D130" s="9" t="e">
        <f>VLOOKUP(B130,'Nutrition Plan'!$D$48:$F$58,3,0)</f>
        <v>#N/A</v>
      </c>
      <c r="E130" s="10" t="e">
        <f t="shared" si="39"/>
        <v>#N/A</v>
      </c>
      <c r="F130" s="11" t="e">
        <f t="shared" ref="F130:F131" si="40">D130/(1/8)</f>
        <v>#N/A</v>
      </c>
      <c r="G130" s="10" t="e">
        <f t="shared" ref="G130:G131" si="41">D130/(1/22)</f>
        <v>#N/A</v>
      </c>
      <c r="H130" s="12" t="e">
        <f t="shared" si="32"/>
        <v>#N/A</v>
      </c>
      <c r="I130" s="1"/>
    </row>
    <row r="131" spans="1:9" ht="15.75" customHeight="1" thickTop="1" thickBot="1" x14ac:dyDescent="0.3">
      <c r="A131" s="1"/>
      <c r="B131" s="8" t="s">
        <v>140</v>
      </c>
      <c r="C131" s="8" t="s">
        <v>134</v>
      </c>
      <c r="D131" s="9" t="e">
        <f>VLOOKUP(B131,'Nutrition Plan'!$D$48:$F$58,3,0)</f>
        <v>#N/A</v>
      </c>
      <c r="E131" s="10" t="e">
        <f t="shared" si="39"/>
        <v>#N/A</v>
      </c>
      <c r="F131" s="11" t="e">
        <f t="shared" si="40"/>
        <v>#N/A</v>
      </c>
      <c r="G131" s="10" t="e">
        <f t="shared" si="41"/>
        <v>#N/A</v>
      </c>
      <c r="H131" s="12" t="e">
        <f t="shared" si="32"/>
        <v>#N/A</v>
      </c>
      <c r="I131" s="1"/>
    </row>
    <row r="132" spans="1:9" ht="15.75" customHeight="1" thickTop="1" x14ac:dyDescent="0.3">
      <c r="A132" s="1"/>
      <c r="B132" s="173" t="s">
        <v>37</v>
      </c>
      <c r="C132" s="174"/>
      <c r="D132" s="174"/>
      <c r="E132" s="174"/>
      <c r="F132" s="174"/>
      <c r="G132" s="174"/>
      <c r="H132" s="134"/>
      <c r="I132" s="1"/>
    </row>
    <row r="133" spans="1:9" ht="15.75" customHeight="1" thickBot="1" x14ac:dyDescent="0.3">
      <c r="A133" s="1"/>
      <c r="B133" s="8" t="s">
        <v>141</v>
      </c>
      <c r="C133" s="8" t="s">
        <v>7</v>
      </c>
      <c r="D133" s="9" t="e">
        <f>VLOOKUP(B133,'Nutrition Plan'!$D$48:$F$58,3,0)</f>
        <v>#N/A</v>
      </c>
      <c r="E133" s="10" t="e">
        <f>D133/(100/0.2)</f>
        <v>#N/A</v>
      </c>
      <c r="F133" s="11" t="e">
        <f>D133/(100/0.18)</f>
        <v>#N/A</v>
      </c>
      <c r="G133" s="10" t="e">
        <f>D133/(100/15.22)</f>
        <v>#N/A</v>
      </c>
      <c r="H133" s="12" t="e">
        <f t="shared" ref="H133:H159" si="42">(E133*4)+(F133*9)+(G133*4)</f>
        <v>#N/A</v>
      </c>
      <c r="I133" s="1"/>
    </row>
    <row r="134" spans="1:9" ht="15.75" customHeight="1" thickTop="1" thickBot="1" x14ac:dyDescent="0.3">
      <c r="A134" s="1"/>
      <c r="B134" s="8" t="s">
        <v>142</v>
      </c>
      <c r="C134" s="8" t="s">
        <v>7</v>
      </c>
      <c r="D134" s="9" t="e">
        <f>VLOOKUP(B134,'Nutrition Plan'!$D$48:$F$58,3,0)</f>
        <v>#N/A</v>
      </c>
      <c r="E134" s="10" t="e">
        <f>D134/(100/0.25)</f>
        <v>#N/A</v>
      </c>
      <c r="F134" s="11" t="e">
        <f>D134/(100/0.12)</f>
        <v>#N/A</v>
      </c>
      <c r="G134" s="10" t="e">
        <f>D134/(100/13.68)</f>
        <v>#N/A</v>
      </c>
      <c r="H134" s="12" t="e">
        <f t="shared" si="42"/>
        <v>#N/A</v>
      </c>
      <c r="I134" s="1"/>
    </row>
    <row r="135" spans="1:9" ht="15.75" customHeight="1" thickTop="1" thickBot="1" x14ac:dyDescent="0.3">
      <c r="A135" s="1"/>
      <c r="B135" s="8" t="s">
        <v>143</v>
      </c>
      <c r="C135" s="8" t="s">
        <v>7</v>
      </c>
      <c r="D135" s="9" t="e">
        <f>VLOOKUP(B135,'Nutrition Plan'!$D$48:$F$58,3,0)</f>
        <v>#N/A</v>
      </c>
      <c r="E135" s="10" t="e">
        <f>D135/(100/0.44)</f>
        <v>#N/A</v>
      </c>
      <c r="F135" s="11" t="e">
        <f>D135/(100/0.19)</f>
        <v>#N/A</v>
      </c>
      <c r="G135" s="10" t="e">
        <f>D135/(100/13.61)</f>
        <v>#N/A</v>
      </c>
      <c r="H135" s="12" t="e">
        <f t="shared" si="42"/>
        <v>#N/A</v>
      </c>
      <c r="I135" s="1"/>
    </row>
    <row r="136" spans="1:9" ht="15.75" customHeight="1" thickTop="1" thickBot="1" x14ac:dyDescent="0.3">
      <c r="A136" s="1"/>
      <c r="B136" s="8" t="s">
        <v>144</v>
      </c>
      <c r="C136" s="8" t="s">
        <v>7</v>
      </c>
      <c r="D136" s="9" t="e">
        <f>VLOOKUP(B136,'Nutrition Plan'!$D$48:$F$58,3,0)</f>
        <v>#N/A</v>
      </c>
      <c r="E136" s="10">
        <v>0</v>
      </c>
      <c r="F136" s="11">
        <v>0</v>
      </c>
      <c r="G136" s="10" t="e">
        <f>D136/(122/13)</f>
        <v>#N/A</v>
      </c>
      <c r="H136" s="12" t="e">
        <f t="shared" si="42"/>
        <v>#N/A</v>
      </c>
      <c r="I136" s="1"/>
    </row>
    <row r="137" spans="1:9" ht="15.75" customHeight="1" thickTop="1" thickBot="1" x14ac:dyDescent="0.3">
      <c r="A137" s="1"/>
      <c r="B137" s="8" t="s">
        <v>145</v>
      </c>
      <c r="C137" s="8" t="s">
        <v>7</v>
      </c>
      <c r="D137" s="9" t="e">
        <f>VLOOKUP(B137,'Nutrition Plan'!$D$48:$F$58,3,0)</f>
        <v>#N/A</v>
      </c>
      <c r="E137" s="10" t="e">
        <f>D137/(100/2)</f>
        <v>#N/A</v>
      </c>
      <c r="F137" s="11" t="e">
        <f>D137/(100/14.66)</f>
        <v>#N/A</v>
      </c>
      <c r="G137" s="10" t="e">
        <f>D137/(100/8.53)</f>
        <v>#N/A</v>
      </c>
      <c r="H137" s="12" t="e">
        <f t="shared" si="42"/>
        <v>#N/A</v>
      </c>
      <c r="I137" s="1"/>
    </row>
    <row r="138" spans="1:9" ht="15.75" customHeight="1" thickTop="1" thickBot="1" x14ac:dyDescent="0.3">
      <c r="A138" s="1"/>
      <c r="B138" s="8" t="s">
        <v>146</v>
      </c>
      <c r="C138" s="8" t="s">
        <v>7</v>
      </c>
      <c r="D138" s="9" t="e">
        <f>VLOOKUP(B138,'Nutrition Plan'!$D$48:$F$58,3,0)</f>
        <v>#N/A</v>
      </c>
      <c r="E138" s="10" t="e">
        <f>D138/(100/1.1)</f>
        <v>#N/A</v>
      </c>
      <c r="F138" s="11" t="e">
        <f t="shared" ref="F138:F139" si="43">D138/(100/0.33)</f>
        <v>#N/A</v>
      </c>
      <c r="G138" s="10" t="e">
        <f>D138/(100/22.84)</f>
        <v>#N/A</v>
      </c>
      <c r="H138" s="12" t="e">
        <f t="shared" si="42"/>
        <v>#N/A</v>
      </c>
      <c r="I138" s="1"/>
    </row>
    <row r="139" spans="1:9" ht="15.75" customHeight="1" thickTop="1" thickBot="1" x14ac:dyDescent="0.3">
      <c r="A139" s="1"/>
      <c r="B139" s="8" t="s">
        <v>147</v>
      </c>
      <c r="C139" s="8" t="s">
        <v>7</v>
      </c>
      <c r="D139" s="9" t="e">
        <f>VLOOKUP(B139,'Nutrition Plan'!$D$48:$F$58,3,0)</f>
        <v>#N/A</v>
      </c>
      <c r="E139" s="10" t="e">
        <f>D139/(100/0.74)</f>
        <v>#N/A</v>
      </c>
      <c r="F139" s="11" t="e">
        <f t="shared" si="43"/>
        <v>#N/A</v>
      </c>
      <c r="G139" s="10" t="e">
        <f>D139/(100/14.49)</f>
        <v>#N/A</v>
      </c>
      <c r="H139" s="12" t="e">
        <f t="shared" si="42"/>
        <v>#N/A</v>
      </c>
      <c r="I139" s="1"/>
    </row>
    <row r="140" spans="1:9" ht="15.75" customHeight="1" thickTop="1" thickBot="1" x14ac:dyDescent="0.3">
      <c r="A140" s="1"/>
      <c r="B140" s="8" t="s">
        <v>148</v>
      </c>
      <c r="C140" s="8" t="s">
        <v>7</v>
      </c>
      <c r="D140" s="9" t="e">
        <f>VLOOKUP(B140,'Nutrition Plan'!$D$48:$F$58,3,0)</f>
        <v>#N/A</v>
      </c>
      <c r="E140" s="10" t="e">
        <f>D140/(28/0.18)</f>
        <v>#N/A</v>
      </c>
      <c r="F140" s="11" t="e">
        <f>D140/(28/0.03)</f>
        <v>#N/A</v>
      </c>
      <c r="G140" s="10" t="e">
        <f>D140/(28/2.26)</f>
        <v>#N/A</v>
      </c>
      <c r="H140" s="12" t="e">
        <f t="shared" si="42"/>
        <v>#N/A</v>
      </c>
      <c r="I140" s="1"/>
    </row>
    <row r="141" spans="1:9" ht="15.75" customHeight="1" thickTop="1" thickBot="1" x14ac:dyDescent="0.3">
      <c r="A141" s="1"/>
      <c r="B141" s="8" t="s">
        <v>149</v>
      </c>
      <c r="C141" s="8" t="s">
        <v>7</v>
      </c>
      <c r="D141" s="9" t="e">
        <f>VLOOKUP(B141,'Nutrition Plan'!$D$48:$F$58,3,0)</f>
        <v>#N/A</v>
      </c>
      <c r="E141" s="10" t="e">
        <f>D141/(100/0.72)</f>
        <v>#N/A</v>
      </c>
      <c r="F141" s="11" t="e">
        <f>D141/(100/0.16)</f>
        <v>#N/A</v>
      </c>
      <c r="G141" s="10" t="e">
        <f>D141/(100/18.1)</f>
        <v>#N/A</v>
      </c>
      <c r="H141" s="12" t="e">
        <f t="shared" si="42"/>
        <v>#N/A</v>
      </c>
      <c r="I141" s="1"/>
    </row>
    <row r="142" spans="1:9" ht="15.75" customHeight="1" thickTop="1" thickBot="1" x14ac:dyDescent="0.3">
      <c r="A142" s="1"/>
      <c r="B142" s="8" t="s">
        <v>150</v>
      </c>
      <c r="C142" s="8" t="s">
        <v>7</v>
      </c>
      <c r="D142" s="9" t="e">
        <f>VLOOKUP(B142,'Nutrition Plan'!$D$48:$F$58,3,0)</f>
        <v>#N/A</v>
      </c>
      <c r="E142" s="10" t="e">
        <f>D142/(28/0.32)</f>
        <v>#N/A</v>
      </c>
      <c r="F142" s="11" t="e">
        <f>D142/(28/0.15)</f>
        <v>#N/A</v>
      </c>
      <c r="G142" s="10" t="e">
        <f>D142/(28/4.1)</f>
        <v>#N/A</v>
      </c>
      <c r="H142" s="12" t="e">
        <f t="shared" si="42"/>
        <v>#N/A</v>
      </c>
      <c r="I142" s="1"/>
    </row>
    <row r="143" spans="1:9" ht="15.75" customHeight="1" thickTop="1" thickBot="1" x14ac:dyDescent="0.3">
      <c r="A143" s="1"/>
      <c r="B143" s="8" t="s">
        <v>151</v>
      </c>
      <c r="C143" s="8" t="s">
        <v>7</v>
      </c>
      <c r="D143" s="9" t="e">
        <f>VLOOKUP(B143,'Nutrition Plan'!$D$48:$F$58,3,0)</f>
        <v>#N/A</v>
      </c>
      <c r="E143" s="10" t="e">
        <f>D143/(28/0.23)</f>
        <v>#N/A</v>
      </c>
      <c r="F143" s="11" t="e">
        <f>D143/(28/0.11)</f>
        <v>#N/A</v>
      </c>
      <c r="G143" s="10" t="e">
        <f>D143/(28/4.2)</f>
        <v>#N/A</v>
      </c>
      <c r="H143" s="12" t="e">
        <f t="shared" si="42"/>
        <v>#N/A</v>
      </c>
      <c r="I143" s="1"/>
    </row>
    <row r="144" spans="1:9" ht="15.75" customHeight="1" thickTop="1" thickBot="1" x14ac:dyDescent="0.3">
      <c r="A144" s="1"/>
      <c r="B144" s="8" t="s">
        <v>152</v>
      </c>
      <c r="C144" s="8" t="s">
        <v>7</v>
      </c>
      <c r="D144" s="9" t="e">
        <f>VLOOKUP(B144,'Nutrition Plan'!$D$48:$F$58,3,0)</f>
        <v>#N/A</v>
      </c>
      <c r="E144" s="10" t="e">
        <f>D144/(28/0.3)</f>
        <v>#N/A</v>
      </c>
      <c r="F144" s="11" t="e">
        <f>D144/(28/0.09)</f>
        <v>#N/A</v>
      </c>
      <c r="G144" s="10" t="e">
        <f>D144/(28/3)</f>
        <v>#N/A</v>
      </c>
      <c r="H144" s="12" t="e">
        <f t="shared" si="42"/>
        <v>#N/A</v>
      </c>
      <c r="I144" s="1"/>
    </row>
    <row r="145" spans="1:9" ht="15.75" customHeight="1" thickTop="1" thickBot="1" x14ac:dyDescent="0.3">
      <c r="A145" s="1"/>
      <c r="B145" s="8" t="s">
        <v>153</v>
      </c>
      <c r="C145" s="8" t="s">
        <v>7</v>
      </c>
      <c r="D145" s="9" t="e">
        <f>VLOOKUP(B145,'Nutrition Plan'!$D$48:$F$58,3,0)</f>
        <v>#N/A</v>
      </c>
      <c r="E145" s="10" t="e">
        <f>D145/(28/0.26)</f>
        <v>#N/A</v>
      </c>
      <c r="F145" s="11" t="e">
        <f>D145/(28/0.03)</f>
        <v>#N/A</v>
      </c>
      <c r="G145" s="10" t="e">
        <f>D145/(28/3.3)</f>
        <v>#N/A</v>
      </c>
      <c r="H145" s="12" t="e">
        <f t="shared" si="42"/>
        <v>#N/A</v>
      </c>
      <c r="I145" s="1"/>
    </row>
    <row r="146" spans="1:9" ht="15.75" customHeight="1" thickTop="1" thickBot="1" x14ac:dyDescent="0.3">
      <c r="A146" s="1"/>
      <c r="B146" s="8" t="s">
        <v>154</v>
      </c>
      <c r="C146" s="8" t="s">
        <v>7</v>
      </c>
      <c r="D146" s="9" t="e">
        <f>VLOOKUP(B146,'Nutrition Plan'!$D$48:$F$58,3,0)</f>
        <v>#N/A</v>
      </c>
      <c r="E146" s="10" t="e">
        <f>D146/(28/0.25)</f>
        <v>#N/A</v>
      </c>
      <c r="F146" s="11" t="e">
        <f>D146/(28/0.07)</f>
        <v>#N/A</v>
      </c>
      <c r="G146" s="10" t="e">
        <f>D146/(28/2.67)</f>
        <v>#N/A</v>
      </c>
      <c r="H146" s="12" t="e">
        <f t="shared" si="42"/>
        <v>#N/A</v>
      </c>
      <c r="I146" s="1"/>
    </row>
    <row r="147" spans="1:9" ht="15.75" customHeight="1" thickTop="1" thickBot="1" x14ac:dyDescent="0.3">
      <c r="A147" s="1"/>
      <c r="B147" s="8" t="s">
        <v>155</v>
      </c>
      <c r="C147" s="8" t="s">
        <v>7</v>
      </c>
      <c r="D147" s="9" t="e">
        <f>VLOOKUP(B147,'Nutrition Plan'!$D$48:$F$58,3,0)</f>
        <v>#N/A</v>
      </c>
      <c r="E147" s="10" t="e">
        <f>D147/(28/0.15)</f>
        <v>#N/A</v>
      </c>
      <c r="F147" s="11" t="e">
        <f>D147/(28/0.03)</f>
        <v>#N/A</v>
      </c>
      <c r="G147" s="10" t="e">
        <f>D147/(28/3.67)</f>
        <v>#N/A</v>
      </c>
      <c r="H147" s="12" t="e">
        <f t="shared" si="42"/>
        <v>#N/A</v>
      </c>
      <c r="I147" s="1"/>
    </row>
    <row r="148" spans="1:9" ht="15.75" customHeight="1" thickTop="1" thickBot="1" x14ac:dyDescent="0.3">
      <c r="A148" s="1"/>
      <c r="B148" s="8" t="s">
        <v>156</v>
      </c>
      <c r="C148" s="8" t="s">
        <v>7</v>
      </c>
      <c r="D148" s="9" t="e">
        <f>VLOOKUP(B148,'Nutrition Plan'!$D$48:$F$58,3,0)</f>
        <v>#N/A</v>
      </c>
      <c r="E148" s="10" t="e">
        <f>D148/(28/0.2)</f>
        <v>#N/A</v>
      </c>
      <c r="F148" s="11" t="e">
        <f>D148/(28/0.08)</f>
        <v>#N/A</v>
      </c>
      <c r="G148" s="10" t="e">
        <f>D148/(28/3.2)</f>
        <v>#N/A</v>
      </c>
      <c r="H148" s="12" t="e">
        <f t="shared" si="42"/>
        <v>#N/A</v>
      </c>
      <c r="I148" s="1"/>
    </row>
    <row r="149" spans="1:9" ht="15.75" customHeight="1" thickTop="1" thickBot="1" x14ac:dyDescent="0.3">
      <c r="A149" s="1"/>
      <c r="B149" s="8" t="s">
        <v>157</v>
      </c>
      <c r="C149" s="8" t="s">
        <v>7</v>
      </c>
      <c r="D149" s="9" t="e">
        <f>VLOOKUP(B149,'Nutrition Plan'!$D$48:$F$58,3,0)</f>
        <v>#N/A</v>
      </c>
      <c r="E149" s="10" t="e">
        <f>D149/(100/1.2)</f>
        <v>#N/A</v>
      </c>
      <c r="F149" s="11" t="e">
        <f>D149/(100/0.65)</f>
        <v>#N/A</v>
      </c>
      <c r="G149" s="10" t="e">
        <f>D149/(100/11.4)</f>
        <v>#N/A</v>
      </c>
      <c r="H149" s="12" t="e">
        <f t="shared" si="42"/>
        <v>#N/A</v>
      </c>
      <c r="I149" s="1"/>
    </row>
    <row r="150" spans="1:9" ht="15.75" customHeight="1" thickTop="1" thickBot="1" x14ac:dyDescent="0.3">
      <c r="A150" s="1"/>
      <c r="B150" s="8" t="s">
        <v>158</v>
      </c>
      <c r="C150" s="8" t="s">
        <v>7</v>
      </c>
      <c r="D150" s="9" t="e">
        <f>VLOOKUP(B150,'Nutrition Plan'!$D$48:$F$58,3,0)</f>
        <v>#N/A</v>
      </c>
      <c r="E150" s="10" t="e">
        <f>D150/(28/0.19)</f>
        <v>#N/A</v>
      </c>
      <c r="F150" s="11" t="e">
        <f>D150/(28/0.08)</f>
        <v>#N/A</v>
      </c>
      <c r="G150" s="10" t="e">
        <f>D150/(28/2.15)</f>
        <v>#N/A</v>
      </c>
      <c r="H150" s="12" t="e">
        <f t="shared" si="42"/>
        <v>#N/A</v>
      </c>
      <c r="I150" s="1"/>
    </row>
    <row r="151" spans="1:9" ht="15.75" customHeight="1" thickTop="1" thickBot="1" x14ac:dyDescent="0.3">
      <c r="A151" s="1"/>
      <c r="B151" s="8" t="s">
        <v>159</v>
      </c>
      <c r="C151" s="8" t="s">
        <v>7</v>
      </c>
      <c r="D151" s="9" t="e">
        <f>VLOOKUP(B151,'Nutrition Plan'!$D$48:$F$58,3,0)</f>
        <v>#N/A</v>
      </c>
      <c r="E151" s="10" t="e">
        <f>D151/(100/0.61)</f>
        <v>#N/A</v>
      </c>
      <c r="F151" s="11" t="e">
        <f>D151/(100/0.15)</f>
        <v>#N/A</v>
      </c>
      <c r="G151" s="10" t="e">
        <f>D151/(100/7.55)</f>
        <v>#N/A</v>
      </c>
      <c r="H151" s="12" t="e">
        <f t="shared" si="42"/>
        <v>#N/A</v>
      </c>
      <c r="I151" s="1"/>
    </row>
    <row r="152" spans="1:9" ht="15.75" customHeight="1" thickTop="1" thickBot="1" x14ac:dyDescent="0.3">
      <c r="A152" s="1"/>
      <c r="B152" s="8" t="s">
        <v>160</v>
      </c>
      <c r="C152" s="8" t="s">
        <v>7</v>
      </c>
      <c r="D152" s="9" t="e">
        <f>VLOOKUP(B152,'Nutrition Plan'!$D$48:$F$58,3,0)</f>
        <v>#N/A</v>
      </c>
      <c r="E152" s="10" t="e">
        <f>D152/(28/4)</f>
        <v>#N/A</v>
      </c>
      <c r="F152" s="11" t="e">
        <f>D152/(28/2.2)</f>
        <v>#N/A</v>
      </c>
      <c r="G152" s="10" t="e">
        <f>D152/(28/1)</f>
        <v>#N/A</v>
      </c>
      <c r="H152" s="12" t="e">
        <f t="shared" si="42"/>
        <v>#N/A</v>
      </c>
      <c r="I152" s="1"/>
    </row>
    <row r="153" spans="1:9" ht="15.75" customHeight="1" thickTop="1" thickBot="1" x14ac:dyDescent="0.3">
      <c r="A153" s="1"/>
      <c r="B153" s="8" t="s">
        <v>161</v>
      </c>
      <c r="C153" s="8" t="s">
        <v>7</v>
      </c>
      <c r="D153" s="9" t="e">
        <f>VLOOKUP(B153,'Nutrition Plan'!$D$48:$F$58,3,0)</f>
        <v>#N/A</v>
      </c>
      <c r="E153" s="10" t="e">
        <f>D153/(28/0.67)</f>
        <v>#N/A</v>
      </c>
      <c r="F153" s="11" t="e">
        <f>D153/(28/0.06)</f>
        <v>#N/A</v>
      </c>
      <c r="G153" s="10" t="e">
        <f>D153/(28/1.15)</f>
        <v>#N/A</v>
      </c>
      <c r="H153" s="12" t="e">
        <f t="shared" si="42"/>
        <v>#N/A</v>
      </c>
      <c r="I153" s="1"/>
    </row>
    <row r="154" spans="1:9" ht="15.75" customHeight="1" thickTop="1" thickBot="1" x14ac:dyDescent="0.3">
      <c r="A154" s="1"/>
      <c r="B154" s="8" t="s">
        <v>162</v>
      </c>
      <c r="C154" s="8" t="s">
        <v>7</v>
      </c>
      <c r="D154" s="9" t="e">
        <f>VLOOKUP(B154,'Nutrition Plan'!$D$48:$F$58,3,0)</f>
        <v>#N/A</v>
      </c>
      <c r="E154" s="10" t="e">
        <f>D154/(28/0.87)</f>
        <v>#N/A</v>
      </c>
      <c r="F154" s="11" t="e">
        <f t="shared" ref="F154:F155" si="44">D154/(28/0.03)</f>
        <v>#N/A</v>
      </c>
      <c r="G154" s="10" t="e">
        <f>D154/(28/1.5)</f>
        <v>#N/A</v>
      </c>
      <c r="H154" s="12" t="e">
        <f t="shared" si="42"/>
        <v>#N/A</v>
      </c>
      <c r="I154" s="1"/>
    </row>
    <row r="155" spans="1:9" ht="15.75" customHeight="1" thickTop="1" thickBot="1" x14ac:dyDescent="0.3">
      <c r="A155" s="1"/>
      <c r="B155" s="8" t="s">
        <v>163</v>
      </c>
      <c r="C155" s="8" t="s">
        <v>7</v>
      </c>
      <c r="D155" s="9" t="e">
        <f>VLOOKUP(B155,'Nutrition Plan'!$D$48:$F$58,3,0)</f>
        <v>#N/A</v>
      </c>
      <c r="E155" s="10" t="e">
        <f>D155/(28/0.36)</f>
        <v>#N/A</v>
      </c>
      <c r="F155" s="11" t="e">
        <f t="shared" si="44"/>
        <v>#N/A</v>
      </c>
      <c r="G155" s="10" t="e">
        <f>D155/(28/1.62)</f>
        <v>#N/A</v>
      </c>
      <c r="H155" s="12" t="e">
        <f t="shared" si="42"/>
        <v>#N/A</v>
      </c>
      <c r="I155" s="1"/>
    </row>
    <row r="156" spans="1:9" ht="15.75" customHeight="1" thickTop="1" thickBot="1" x14ac:dyDescent="0.3">
      <c r="A156" s="1"/>
      <c r="B156" s="8" t="s">
        <v>164</v>
      </c>
      <c r="C156" s="8" t="s">
        <v>7</v>
      </c>
      <c r="D156" s="9" t="e">
        <f>VLOOKUP(B156,'Nutrition Plan'!$D$48:$F$58,3,0)</f>
        <v>#N/A</v>
      </c>
      <c r="E156" s="10" t="e">
        <f>D156/(28/0.54)</f>
        <v>#N/A</v>
      </c>
      <c r="F156" s="11" t="e">
        <f t="shared" ref="F156:F157" si="45">D156/(28/0.08)</f>
        <v>#N/A</v>
      </c>
      <c r="G156" s="10" t="e">
        <f>D156/(28/1.4)</f>
        <v>#N/A</v>
      </c>
      <c r="H156" s="12" t="e">
        <f t="shared" si="42"/>
        <v>#N/A</v>
      </c>
      <c r="I156" s="1"/>
    </row>
    <row r="157" spans="1:9" ht="15.75" customHeight="1" thickTop="1" thickBot="1" x14ac:dyDescent="0.3">
      <c r="A157" s="1"/>
      <c r="B157" s="8" t="s">
        <v>165</v>
      </c>
      <c r="C157" s="8" t="s">
        <v>7</v>
      </c>
      <c r="D157" s="9" t="e">
        <f>VLOOKUP(B157,'Nutrition Plan'!$D$48:$F$58,3,0)</f>
        <v>#N/A</v>
      </c>
      <c r="E157" s="10" t="e">
        <f>D157/(28/0.34)</f>
        <v>#N/A</v>
      </c>
      <c r="F157" s="11" t="e">
        <f t="shared" si="45"/>
        <v>#N/A</v>
      </c>
      <c r="G157" s="10" t="e">
        <f>D157/(28/0.92)</f>
        <v>#N/A</v>
      </c>
      <c r="H157" s="12" t="e">
        <f t="shared" si="42"/>
        <v>#N/A</v>
      </c>
      <c r="I157" s="1"/>
    </row>
    <row r="158" spans="1:9" ht="15.75" customHeight="1" thickTop="1" thickBot="1" x14ac:dyDescent="0.3">
      <c r="A158" s="1"/>
      <c r="B158" s="8" t="s">
        <v>166</v>
      </c>
      <c r="C158" s="8" t="s">
        <v>7</v>
      </c>
      <c r="D158" s="9" t="e">
        <f>VLOOKUP(B158,'Nutrition Plan'!$D$48:$F$58,3,0)</f>
        <v>#N/A</v>
      </c>
      <c r="E158" s="10" t="e">
        <f>D158/(28/1.12)</f>
        <v>#N/A</v>
      </c>
      <c r="F158" s="11" t="e">
        <f>D158/(28/0.24)</f>
        <v>#N/A</v>
      </c>
      <c r="G158" s="10" t="e">
        <f>D158/(28/1.34)</f>
        <v>#N/A</v>
      </c>
      <c r="H158" s="12" t="e">
        <f t="shared" si="42"/>
        <v>#N/A</v>
      </c>
      <c r="I158" s="1"/>
    </row>
    <row r="159" spans="1:9" ht="15.75" customHeight="1" thickTop="1" thickBot="1" x14ac:dyDescent="0.3">
      <c r="A159" s="1"/>
      <c r="B159" s="8" t="s">
        <v>167</v>
      </c>
      <c r="C159" s="8" t="s">
        <v>7</v>
      </c>
      <c r="D159" s="9" t="e">
        <f>VLOOKUP(B159,'Nutrition Plan'!$D$48:$F$58,3,0)</f>
        <v>#N/A</v>
      </c>
      <c r="E159" s="10" t="e">
        <f>D159/(28/0.34)</f>
        <v>#N/A</v>
      </c>
      <c r="F159" s="11" t="e">
        <f>D159/(28/0.09)</f>
        <v>#N/A</v>
      </c>
      <c r="G159" s="10" t="e">
        <f>D159/(28/0.87)</f>
        <v>#N/A</v>
      </c>
      <c r="H159" s="12" t="e">
        <f t="shared" si="42"/>
        <v>#N/A</v>
      </c>
      <c r="I159" s="1"/>
    </row>
    <row r="160" spans="1:9" ht="15.75" customHeight="1" thickTop="1" x14ac:dyDescent="0.25">
      <c r="A160" s="1"/>
      <c r="B160" s="1"/>
      <c r="C160" s="1"/>
      <c r="D160" s="1"/>
      <c r="E160" s="1"/>
      <c r="F160" s="1"/>
      <c r="G160" s="1"/>
      <c r="H160" s="1"/>
      <c r="I160" s="1"/>
    </row>
    <row r="161" spans="1:1" ht="15.75" customHeight="1" x14ac:dyDescent="0.25">
      <c r="A161" s="7"/>
    </row>
    <row r="162" spans="1:1" ht="15.75" customHeight="1" x14ac:dyDescent="0.25">
      <c r="A162" s="7"/>
    </row>
    <row r="163" spans="1:1" ht="15.75" customHeight="1" x14ac:dyDescent="0.25">
      <c r="A163" s="7"/>
    </row>
    <row r="164" spans="1:1" ht="15.75" customHeight="1" x14ac:dyDescent="0.25">
      <c r="A164" s="7"/>
    </row>
    <row r="165" spans="1:1" ht="15.75" customHeight="1" x14ac:dyDescent="0.25">
      <c r="A165" s="7"/>
    </row>
    <row r="166" spans="1:1" ht="15.75" customHeight="1" x14ac:dyDescent="0.25">
      <c r="A166" s="7"/>
    </row>
    <row r="167" spans="1:1" ht="15.75" customHeight="1" x14ac:dyDescent="0.25">
      <c r="A167" s="7"/>
    </row>
    <row r="168" spans="1:1" ht="15.75" customHeight="1" x14ac:dyDescent="0.25">
      <c r="A168" s="7"/>
    </row>
    <row r="169" spans="1:1" ht="15.75" customHeight="1" x14ac:dyDescent="0.25">
      <c r="A169" s="7"/>
    </row>
    <row r="170" spans="1:1" ht="15.75" customHeight="1" x14ac:dyDescent="0.25">
      <c r="A170" s="7"/>
    </row>
    <row r="171" spans="1:1" ht="15.75" customHeight="1" x14ac:dyDescent="0.25">
      <c r="A171" s="7"/>
    </row>
    <row r="172" spans="1:1" ht="15.75" customHeight="1" x14ac:dyDescent="0.25">
      <c r="A172" s="7"/>
    </row>
    <row r="173" spans="1:1" ht="15.75" customHeight="1" x14ac:dyDescent="0.25">
      <c r="A173" s="7"/>
    </row>
    <row r="174" spans="1:1" ht="15.75" customHeight="1" x14ac:dyDescent="0.25">
      <c r="A174" s="7"/>
    </row>
    <row r="175" spans="1:1" ht="15.75" customHeight="1" x14ac:dyDescent="0.25">
      <c r="A175" s="7"/>
    </row>
    <row r="176" spans="1:1" ht="15.75" customHeight="1" x14ac:dyDescent="0.25">
      <c r="A176" s="7"/>
    </row>
    <row r="177" spans="1:1" ht="15.75" customHeight="1" x14ac:dyDescent="0.25">
      <c r="A177" s="7"/>
    </row>
    <row r="178" spans="1:1" ht="15.75" customHeight="1" x14ac:dyDescent="0.25">
      <c r="A178" s="7"/>
    </row>
    <row r="179" spans="1:1" ht="15.75" customHeight="1" x14ac:dyDescent="0.25">
      <c r="A179" s="7"/>
    </row>
    <row r="180" spans="1:1" ht="15.75" customHeight="1" x14ac:dyDescent="0.25">
      <c r="A180" s="7"/>
    </row>
    <row r="181" spans="1:1" ht="15.75" customHeight="1" x14ac:dyDescent="0.25">
      <c r="A181" s="7"/>
    </row>
    <row r="182" spans="1:1" ht="15.75" customHeight="1" x14ac:dyDescent="0.25">
      <c r="A182" s="7"/>
    </row>
    <row r="183" spans="1:1" ht="15.75" customHeight="1" x14ac:dyDescent="0.25">
      <c r="A183" s="7"/>
    </row>
    <row r="184" spans="1:1" ht="15.75" customHeight="1" x14ac:dyDescent="0.25">
      <c r="A184" s="7"/>
    </row>
    <row r="185" spans="1:1" ht="15.75" customHeight="1" x14ac:dyDescent="0.25">
      <c r="A185" s="7"/>
    </row>
    <row r="186" spans="1:1" ht="15.75" customHeight="1" x14ac:dyDescent="0.25">
      <c r="A186" s="7"/>
    </row>
    <row r="187" spans="1:1" ht="15.75" customHeight="1" x14ac:dyDescent="0.25">
      <c r="A187" s="7"/>
    </row>
    <row r="188" spans="1:1" ht="15.75" customHeight="1" x14ac:dyDescent="0.25">
      <c r="A188" s="7"/>
    </row>
    <row r="189" spans="1:1" ht="15.75" customHeight="1" x14ac:dyDescent="0.25">
      <c r="A189" s="7"/>
    </row>
    <row r="190" spans="1:1" ht="15.75" customHeight="1" x14ac:dyDescent="0.25">
      <c r="A190" s="7"/>
    </row>
    <row r="191" spans="1:1" ht="15.75" customHeight="1" x14ac:dyDescent="0.25">
      <c r="A191" s="7"/>
    </row>
    <row r="192" spans="1:1" ht="15.75" customHeight="1" x14ac:dyDescent="0.25">
      <c r="A192" s="7"/>
    </row>
    <row r="193" spans="1:1" ht="15.75" customHeight="1" x14ac:dyDescent="0.25">
      <c r="A193" s="7"/>
    </row>
    <row r="194" spans="1:1" ht="15.75" customHeight="1" x14ac:dyDescent="0.25">
      <c r="A194" s="7"/>
    </row>
    <row r="195" spans="1:1" ht="15.75" customHeight="1" x14ac:dyDescent="0.25">
      <c r="A195" s="7"/>
    </row>
    <row r="196" spans="1:1" ht="15.75" customHeight="1" x14ac:dyDescent="0.25">
      <c r="A196" s="7"/>
    </row>
    <row r="197" spans="1:1" ht="15.75" customHeight="1" x14ac:dyDescent="0.25">
      <c r="A197" s="7"/>
    </row>
    <row r="198" spans="1:1" ht="15.75" customHeight="1" x14ac:dyDescent="0.25">
      <c r="A198" s="7"/>
    </row>
    <row r="199" spans="1:1" ht="15.75" customHeight="1" x14ac:dyDescent="0.25">
      <c r="A199" s="7"/>
    </row>
    <row r="200" spans="1:1" ht="15.75" customHeight="1" x14ac:dyDescent="0.25">
      <c r="A200" s="7"/>
    </row>
    <row r="201" spans="1:1" ht="15.75" customHeight="1" x14ac:dyDescent="0.25">
      <c r="A201" s="7"/>
    </row>
    <row r="202" spans="1:1" ht="15.75" customHeight="1" x14ac:dyDescent="0.25">
      <c r="A202" s="7"/>
    </row>
    <row r="203" spans="1:1" ht="15.75" customHeight="1" x14ac:dyDescent="0.25">
      <c r="A203" s="7"/>
    </row>
    <row r="204" spans="1:1" ht="15.75" customHeight="1" x14ac:dyDescent="0.25">
      <c r="A204" s="7"/>
    </row>
    <row r="205" spans="1:1" ht="15.75" customHeight="1" x14ac:dyDescent="0.25">
      <c r="A205" s="7"/>
    </row>
    <row r="206" spans="1:1" ht="15.75" customHeight="1" x14ac:dyDescent="0.25">
      <c r="A206" s="7"/>
    </row>
    <row r="207" spans="1:1" ht="15.75" customHeight="1" x14ac:dyDescent="0.25">
      <c r="A207" s="7"/>
    </row>
    <row r="208" spans="1:1" ht="15.75" customHeight="1" x14ac:dyDescent="0.25">
      <c r="A208" s="7"/>
    </row>
    <row r="209" spans="1:1" ht="15.75" customHeight="1" x14ac:dyDescent="0.25">
      <c r="A209" s="7"/>
    </row>
    <row r="210" spans="1:1" ht="15.75" customHeight="1" x14ac:dyDescent="0.25">
      <c r="A210" s="7"/>
    </row>
    <row r="211" spans="1:1" ht="15.75" customHeight="1" x14ac:dyDescent="0.25">
      <c r="A211" s="7"/>
    </row>
    <row r="212" spans="1:1" ht="15.75" customHeight="1" x14ac:dyDescent="0.25">
      <c r="A212" s="7"/>
    </row>
    <row r="213" spans="1:1" ht="15.75" customHeight="1" x14ac:dyDescent="0.25">
      <c r="A213" s="7"/>
    </row>
    <row r="214" spans="1:1" ht="15.75" customHeight="1" x14ac:dyDescent="0.25">
      <c r="A214" s="7"/>
    </row>
    <row r="215" spans="1:1" ht="15.75" customHeight="1" x14ac:dyDescent="0.25">
      <c r="A215" s="7"/>
    </row>
    <row r="216" spans="1:1" ht="15.75" customHeight="1" x14ac:dyDescent="0.25">
      <c r="A216" s="7"/>
    </row>
    <row r="217" spans="1:1" ht="15.75" customHeight="1" x14ac:dyDescent="0.25">
      <c r="A217" s="7"/>
    </row>
    <row r="218" spans="1:1" ht="15.75" customHeight="1" x14ac:dyDescent="0.25">
      <c r="A218" s="7"/>
    </row>
    <row r="219" spans="1:1" ht="15.75" customHeight="1" x14ac:dyDescent="0.25">
      <c r="A219" s="7"/>
    </row>
    <row r="220" spans="1:1" ht="15.75" customHeight="1" x14ac:dyDescent="0.25">
      <c r="A220" s="7"/>
    </row>
    <row r="221" spans="1:1" ht="15.75" customHeight="1" x14ac:dyDescent="0.25">
      <c r="A221" s="7"/>
    </row>
    <row r="222" spans="1:1" ht="15.75" customHeight="1" x14ac:dyDescent="0.25">
      <c r="A222" s="7"/>
    </row>
    <row r="223" spans="1:1" ht="15.75" customHeight="1" x14ac:dyDescent="0.25">
      <c r="A223" s="7"/>
    </row>
    <row r="224" spans="1:1" ht="15.75" customHeight="1" x14ac:dyDescent="0.25">
      <c r="A224" s="7"/>
    </row>
    <row r="225" spans="1:1" ht="15.75" customHeight="1" x14ac:dyDescent="0.25">
      <c r="A225" s="7"/>
    </row>
    <row r="226" spans="1:1" ht="15.75" customHeight="1" x14ac:dyDescent="0.25">
      <c r="A226" s="7"/>
    </row>
    <row r="227" spans="1:1" ht="15.75" customHeight="1" x14ac:dyDescent="0.25">
      <c r="A227" s="7"/>
    </row>
    <row r="228" spans="1:1" ht="15.75" customHeight="1" x14ac:dyDescent="0.25">
      <c r="A228" s="7"/>
    </row>
    <row r="229" spans="1:1" ht="15.75" customHeight="1" x14ac:dyDescent="0.25">
      <c r="A229" s="7"/>
    </row>
    <row r="230" spans="1:1" ht="15.75" customHeight="1" x14ac:dyDescent="0.25">
      <c r="A230" s="7"/>
    </row>
    <row r="231" spans="1:1" ht="15.75" customHeight="1" x14ac:dyDescent="0.25">
      <c r="A231" s="7"/>
    </row>
    <row r="232" spans="1:1" ht="15.75" customHeight="1" x14ac:dyDescent="0.25">
      <c r="A232" s="7"/>
    </row>
    <row r="233" spans="1:1" ht="15.75" customHeight="1" x14ac:dyDescent="0.25">
      <c r="A233" s="7"/>
    </row>
    <row r="234" spans="1:1" ht="15.75" customHeight="1" x14ac:dyDescent="0.25">
      <c r="A234" s="7"/>
    </row>
    <row r="235" spans="1:1" ht="15.75" customHeight="1" x14ac:dyDescent="0.25">
      <c r="A235" s="7"/>
    </row>
    <row r="236" spans="1:1" ht="15.75" customHeight="1" x14ac:dyDescent="0.25">
      <c r="A236" s="7"/>
    </row>
    <row r="237" spans="1:1" ht="15.75" customHeight="1" x14ac:dyDescent="0.25">
      <c r="A237" s="7"/>
    </row>
    <row r="238" spans="1:1" ht="15.75" customHeight="1" x14ac:dyDescent="0.25">
      <c r="A238" s="7"/>
    </row>
    <row r="239" spans="1:1" ht="15.75" customHeight="1" x14ac:dyDescent="0.25">
      <c r="A239" s="7"/>
    </row>
    <row r="240" spans="1:1" ht="15.75" customHeight="1" x14ac:dyDescent="0.25">
      <c r="A240" s="7"/>
    </row>
    <row r="241" spans="1:1" ht="15.75" customHeight="1" x14ac:dyDescent="0.25">
      <c r="A241" s="7"/>
    </row>
    <row r="242" spans="1:1" ht="15.75" customHeight="1" x14ac:dyDescent="0.25">
      <c r="A242" s="7"/>
    </row>
    <row r="243" spans="1:1" ht="15.75" customHeight="1" x14ac:dyDescent="0.25">
      <c r="A243" s="7"/>
    </row>
    <row r="244" spans="1:1" ht="15.75" customHeight="1" x14ac:dyDescent="0.25">
      <c r="A244" s="7"/>
    </row>
    <row r="245" spans="1:1" ht="15.75" customHeight="1" x14ac:dyDescent="0.25">
      <c r="A245" s="7"/>
    </row>
    <row r="246" spans="1:1" ht="15.75" customHeight="1" x14ac:dyDescent="0.25">
      <c r="A246" s="7"/>
    </row>
    <row r="247" spans="1:1" ht="15.75" customHeight="1" x14ac:dyDescent="0.25">
      <c r="A247" s="7"/>
    </row>
    <row r="248" spans="1:1" ht="15.75" customHeight="1" x14ac:dyDescent="0.25">
      <c r="A248" s="7"/>
    </row>
    <row r="249" spans="1:1" ht="15.75" customHeight="1" x14ac:dyDescent="0.25">
      <c r="A249" s="7"/>
    </row>
    <row r="250" spans="1:1" ht="15.75" customHeight="1" x14ac:dyDescent="0.25">
      <c r="A250" s="7"/>
    </row>
    <row r="251" spans="1:1" ht="15.75" customHeight="1" x14ac:dyDescent="0.25">
      <c r="A251" s="7"/>
    </row>
    <row r="252" spans="1:1" ht="15.75" customHeight="1" x14ac:dyDescent="0.25">
      <c r="A252" s="7"/>
    </row>
    <row r="253" spans="1:1" ht="15.75" customHeight="1" x14ac:dyDescent="0.25">
      <c r="A253" s="7"/>
    </row>
    <row r="254" spans="1:1" ht="15.75" customHeight="1" x14ac:dyDescent="0.25">
      <c r="A254" s="7"/>
    </row>
    <row r="255" spans="1:1" ht="15.75" customHeight="1" x14ac:dyDescent="0.25">
      <c r="A255" s="7"/>
    </row>
    <row r="256" spans="1:1" ht="15.75" customHeight="1" x14ac:dyDescent="0.25">
      <c r="A256" s="7"/>
    </row>
    <row r="257" spans="1:1" ht="15.75" customHeight="1" x14ac:dyDescent="0.25">
      <c r="A257" s="7"/>
    </row>
    <row r="258" spans="1:1" ht="15.75" customHeight="1" x14ac:dyDescent="0.25">
      <c r="A258" s="7"/>
    </row>
    <row r="259" spans="1:1" ht="15.75" customHeight="1" x14ac:dyDescent="0.25">
      <c r="A259" s="7"/>
    </row>
    <row r="260" spans="1:1" ht="15.75" customHeight="1" x14ac:dyDescent="0.25">
      <c r="A260" s="7"/>
    </row>
    <row r="261" spans="1:1" ht="15.75" customHeight="1" x14ac:dyDescent="0.25">
      <c r="A261" s="7"/>
    </row>
    <row r="262" spans="1:1" ht="15.75" customHeight="1" x14ac:dyDescent="0.25">
      <c r="A262" s="7"/>
    </row>
    <row r="263" spans="1:1" ht="15.75" customHeight="1" x14ac:dyDescent="0.25">
      <c r="A263" s="7"/>
    </row>
    <row r="264" spans="1:1" ht="15.75" customHeight="1" x14ac:dyDescent="0.25">
      <c r="A264" s="7"/>
    </row>
    <row r="265" spans="1:1" ht="15.75" customHeight="1" x14ac:dyDescent="0.25">
      <c r="A265" s="7"/>
    </row>
    <row r="266" spans="1:1" ht="15.75" customHeight="1" x14ac:dyDescent="0.25">
      <c r="A266" s="7"/>
    </row>
    <row r="267" spans="1:1" ht="15.75" customHeight="1" x14ac:dyDescent="0.25">
      <c r="A267" s="7"/>
    </row>
    <row r="268" spans="1:1" ht="15.75" customHeight="1" x14ac:dyDescent="0.25">
      <c r="A268" s="7"/>
    </row>
    <row r="269" spans="1:1" ht="15.75" customHeight="1" x14ac:dyDescent="0.25">
      <c r="A269" s="7"/>
    </row>
    <row r="270" spans="1:1" ht="15.75" customHeight="1" x14ac:dyDescent="0.25">
      <c r="A270" s="7"/>
    </row>
    <row r="271" spans="1:1" ht="15.75" customHeight="1" x14ac:dyDescent="0.25">
      <c r="A271" s="7"/>
    </row>
    <row r="272" spans="1:1" ht="15.75" customHeight="1" x14ac:dyDescent="0.25">
      <c r="A272" s="7"/>
    </row>
    <row r="273" spans="1:1" ht="15.75" customHeight="1" x14ac:dyDescent="0.25">
      <c r="A273" s="7"/>
    </row>
    <row r="274" spans="1:1" ht="15.75" customHeight="1" x14ac:dyDescent="0.25">
      <c r="A274" s="7"/>
    </row>
    <row r="275" spans="1:1" ht="15.75" customHeight="1" x14ac:dyDescent="0.25">
      <c r="A275" s="7"/>
    </row>
    <row r="276" spans="1:1" ht="15.75" customHeight="1" x14ac:dyDescent="0.25">
      <c r="A276" s="7"/>
    </row>
    <row r="277" spans="1:1" ht="15.75" customHeight="1" x14ac:dyDescent="0.25">
      <c r="A277" s="7"/>
    </row>
    <row r="278" spans="1:1" ht="15.75" customHeight="1" x14ac:dyDescent="0.25">
      <c r="A278" s="7"/>
    </row>
    <row r="279" spans="1:1" ht="15.75" customHeight="1" x14ac:dyDescent="0.25">
      <c r="A279" s="7"/>
    </row>
    <row r="280" spans="1:1" ht="15.75" customHeight="1" x14ac:dyDescent="0.25">
      <c r="A280" s="7"/>
    </row>
    <row r="281" spans="1:1" ht="15.75" customHeight="1" x14ac:dyDescent="0.25">
      <c r="A281" s="7"/>
    </row>
    <row r="282" spans="1:1" ht="15.75" customHeight="1" x14ac:dyDescent="0.25">
      <c r="A282" s="7"/>
    </row>
    <row r="283" spans="1:1" ht="15.75" customHeight="1" x14ac:dyDescent="0.25">
      <c r="A283" s="7"/>
    </row>
    <row r="284" spans="1:1" ht="15.75" customHeight="1" x14ac:dyDescent="0.25">
      <c r="A284" s="7"/>
    </row>
    <row r="285" spans="1:1" ht="15.75" customHeight="1" x14ac:dyDescent="0.25">
      <c r="A285" s="7"/>
    </row>
    <row r="286" spans="1:1" ht="15.75" customHeight="1" x14ac:dyDescent="0.25">
      <c r="A286" s="7"/>
    </row>
    <row r="287" spans="1:1" ht="15.75" customHeight="1" x14ac:dyDescent="0.25">
      <c r="A287" s="7"/>
    </row>
    <row r="288" spans="1:1" ht="15.75" customHeight="1" x14ac:dyDescent="0.25">
      <c r="A288" s="7"/>
    </row>
    <row r="289" spans="1:1" ht="15.75" customHeight="1" x14ac:dyDescent="0.25">
      <c r="A289" s="7"/>
    </row>
    <row r="290" spans="1:1" ht="15.75" customHeight="1" x14ac:dyDescent="0.25">
      <c r="A290" s="7"/>
    </row>
    <row r="291" spans="1:1" ht="15.75" customHeight="1" x14ac:dyDescent="0.25">
      <c r="A291" s="7"/>
    </row>
    <row r="292" spans="1:1" ht="15.75" customHeight="1" x14ac:dyDescent="0.25">
      <c r="A292" s="7"/>
    </row>
    <row r="293" spans="1:1" ht="15.75" customHeight="1" x14ac:dyDescent="0.25">
      <c r="A293" s="7"/>
    </row>
    <row r="294" spans="1:1" ht="15.75" customHeight="1" x14ac:dyDescent="0.25">
      <c r="A294" s="7"/>
    </row>
    <row r="295" spans="1:1" ht="15.75" customHeight="1" x14ac:dyDescent="0.25">
      <c r="A295" s="7"/>
    </row>
    <row r="296" spans="1:1" ht="15.75" customHeight="1" x14ac:dyDescent="0.25">
      <c r="A296" s="7"/>
    </row>
    <row r="297" spans="1:1" ht="15.75" customHeight="1" x14ac:dyDescent="0.25">
      <c r="A297" s="7"/>
    </row>
    <row r="298" spans="1:1" ht="15.75" customHeight="1" x14ac:dyDescent="0.25">
      <c r="A298" s="7"/>
    </row>
    <row r="299" spans="1:1" ht="15.75" customHeight="1" x14ac:dyDescent="0.25">
      <c r="A299" s="7"/>
    </row>
    <row r="300" spans="1:1" ht="15.75" customHeight="1" x14ac:dyDescent="0.25">
      <c r="A300" s="7"/>
    </row>
    <row r="301" spans="1:1" ht="15.75" customHeight="1" x14ac:dyDescent="0.25">
      <c r="A301" s="7"/>
    </row>
    <row r="302" spans="1:1" ht="15.75" customHeight="1" x14ac:dyDescent="0.25">
      <c r="A302" s="7"/>
    </row>
    <row r="303" spans="1:1" ht="15.75" customHeight="1" x14ac:dyDescent="0.25">
      <c r="A303" s="7"/>
    </row>
    <row r="304" spans="1:1" ht="15.75" customHeight="1" x14ac:dyDescent="0.25">
      <c r="A304" s="7"/>
    </row>
    <row r="305" spans="1:1" ht="15.75" customHeight="1" x14ac:dyDescent="0.25">
      <c r="A305" s="7"/>
    </row>
    <row r="306" spans="1:1" ht="15.75" customHeight="1" x14ac:dyDescent="0.25">
      <c r="A306" s="7"/>
    </row>
    <row r="307" spans="1:1" ht="15.75" customHeight="1" x14ac:dyDescent="0.25">
      <c r="A307" s="7"/>
    </row>
    <row r="308" spans="1:1" ht="15.75" customHeight="1" x14ac:dyDescent="0.25">
      <c r="A308" s="7"/>
    </row>
    <row r="309" spans="1:1" ht="15.75" customHeight="1" x14ac:dyDescent="0.25">
      <c r="A309" s="7"/>
    </row>
    <row r="310" spans="1:1" ht="15.75" customHeight="1" x14ac:dyDescent="0.25">
      <c r="A310" s="7"/>
    </row>
    <row r="311" spans="1:1" ht="15.75" customHeight="1" x14ac:dyDescent="0.25">
      <c r="A311" s="7"/>
    </row>
    <row r="312" spans="1:1" ht="15.75" customHeight="1" x14ac:dyDescent="0.25">
      <c r="A312" s="7"/>
    </row>
    <row r="313" spans="1:1" ht="15.75" customHeight="1" x14ac:dyDescent="0.25">
      <c r="A313" s="7"/>
    </row>
    <row r="314" spans="1:1" ht="15.75" customHeight="1" x14ac:dyDescent="0.25">
      <c r="A314" s="7"/>
    </row>
    <row r="315" spans="1:1" ht="15.75" customHeight="1" x14ac:dyDescent="0.25">
      <c r="A315" s="7"/>
    </row>
    <row r="316" spans="1:1" ht="15.75" customHeight="1" x14ac:dyDescent="0.25">
      <c r="A316" s="7"/>
    </row>
    <row r="317" spans="1:1" ht="15.75" customHeight="1" x14ac:dyDescent="0.25">
      <c r="A317" s="7"/>
    </row>
    <row r="318" spans="1:1" ht="15.75" customHeight="1" x14ac:dyDescent="0.25">
      <c r="A318" s="7"/>
    </row>
    <row r="319" spans="1:1" ht="15.75" customHeight="1" x14ac:dyDescent="0.25">
      <c r="A319" s="7"/>
    </row>
    <row r="320" spans="1:1" ht="15.75" customHeight="1" x14ac:dyDescent="0.25">
      <c r="A320" s="7"/>
    </row>
    <row r="321" spans="1:1" ht="15.75" customHeight="1" x14ac:dyDescent="0.25">
      <c r="A321" s="7"/>
    </row>
    <row r="322" spans="1:1" ht="15.75" customHeight="1" x14ac:dyDescent="0.25">
      <c r="A322" s="7"/>
    </row>
    <row r="323" spans="1:1" ht="15.75" customHeight="1" x14ac:dyDescent="0.25">
      <c r="A323" s="7"/>
    </row>
    <row r="324" spans="1:1" ht="15.75" customHeight="1" x14ac:dyDescent="0.25">
      <c r="A324" s="7"/>
    </row>
    <row r="325" spans="1:1" ht="15.75" customHeight="1" x14ac:dyDescent="0.25">
      <c r="A325" s="7"/>
    </row>
    <row r="326" spans="1:1" ht="15.75" customHeight="1" x14ac:dyDescent="0.25">
      <c r="A326" s="7"/>
    </row>
    <row r="327" spans="1:1" ht="15.75" customHeight="1" x14ac:dyDescent="0.25">
      <c r="A327" s="7"/>
    </row>
    <row r="328" spans="1:1" ht="15.75" customHeight="1" x14ac:dyDescent="0.25">
      <c r="A328" s="7"/>
    </row>
    <row r="329" spans="1:1" ht="15.75" customHeight="1" x14ac:dyDescent="0.25">
      <c r="A329" s="7"/>
    </row>
    <row r="330" spans="1:1" ht="15.75" customHeight="1" x14ac:dyDescent="0.25">
      <c r="A330" s="7"/>
    </row>
    <row r="331" spans="1:1" ht="15.75" customHeight="1" x14ac:dyDescent="0.25">
      <c r="A331" s="7"/>
    </row>
    <row r="332" spans="1:1" ht="15.75" customHeight="1" x14ac:dyDescent="0.25">
      <c r="A332" s="7"/>
    </row>
    <row r="333" spans="1:1" ht="15.75" customHeight="1" x14ac:dyDescent="0.25">
      <c r="A333" s="7"/>
    </row>
    <row r="334" spans="1:1" ht="15.75" customHeight="1" x14ac:dyDescent="0.25">
      <c r="A334" s="7"/>
    </row>
    <row r="335" spans="1:1" ht="15.75" customHeight="1" x14ac:dyDescent="0.25">
      <c r="A335" s="7"/>
    </row>
    <row r="336" spans="1:1" ht="15.75" customHeight="1" x14ac:dyDescent="0.25">
      <c r="A336" s="7"/>
    </row>
    <row r="337" spans="1:1" ht="15.75" customHeight="1" x14ac:dyDescent="0.25">
      <c r="A337" s="7"/>
    </row>
    <row r="338" spans="1:1" ht="15.75" customHeight="1" x14ac:dyDescent="0.25">
      <c r="A338" s="7"/>
    </row>
    <row r="339" spans="1:1" ht="15.75" customHeight="1" x14ac:dyDescent="0.25">
      <c r="A339" s="7"/>
    </row>
    <row r="340" spans="1:1" ht="15.75" customHeight="1" x14ac:dyDescent="0.25">
      <c r="A340" s="7"/>
    </row>
    <row r="341" spans="1:1" ht="15.75" customHeight="1" x14ac:dyDescent="0.25">
      <c r="A341" s="7"/>
    </row>
    <row r="342" spans="1:1" ht="15.75" customHeight="1" x14ac:dyDescent="0.25">
      <c r="A342" s="7"/>
    </row>
    <row r="343" spans="1:1" ht="15.75" customHeight="1" x14ac:dyDescent="0.25">
      <c r="A343" s="7"/>
    </row>
    <row r="344" spans="1:1" ht="15.75" customHeight="1" x14ac:dyDescent="0.25">
      <c r="A344" s="7"/>
    </row>
    <row r="345" spans="1:1" ht="15.75" customHeight="1" x14ac:dyDescent="0.25">
      <c r="A345" s="7"/>
    </row>
    <row r="346" spans="1:1" ht="15.75" customHeight="1" x14ac:dyDescent="0.25">
      <c r="A346" s="7"/>
    </row>
    <row r="347" spans="1:1" ht="15.75" customHeight="1" x14ac:dyDescent="0.25">
      <c r="A347" s="7"/>
    </row>
    <row r="348" spans="1:1" ht="15.75" customHeight="1" x14ac:dyDescent="0.25">
      <c r="A348" s="7"/>
    </row>
    <row r="349" spans="1:1" ht="15.75" customHeight="1" x14ac:dyDescent="0.25">
      <c r="A349" s="7"/>
    </row>
    <row r="350" spans="1:1" ht="15.75" customHeight="1" x14ac:dyDescent="0.25">
      <c r="A350" s="7"/>
    </row>
    <row r="351" spans="1:1" ht="15.75" customHeight="1" x14ac:dyDescent="0.25">
      <c r="A351" s="7"/>
    </row>
    <row r="352" spans="1:1" ht="15.75" customHeight="1" x14ac:dyDescent="0.25">
      <c r="A352" s="7"/>
    </row>
    <row r="353" spans="1:1" ht="15.75" customHeight="1" x14ac:dyDescent="0.25">
      <c r="A353" s="7"/>
    </row>
    <row r="354" spans="1:1" ht="15.75" customHeight="1" x14ac:dyDescent="0.25">
      <c r="A354" s="7"/>
    </row>
    <row r="355" spans="1:1" ht="15.75" customHeight="1" x14ac:dyDescent="0.25">
      <c r="A355" s="7"/>
    </row>
    <row r="356" spans="1:1" ht="15.75" customHeight="1" x14ac:dyDescent="0.25">
      <c r="A356" s="7"/>
    </row>
    <row r="357" spans="1:1" ht="15.75" customHeight="1" x14ac:dyDescent="0.25">
      <c r="A357" s="7"/>
    </row>
    <row r="358" spans="1:1" ht="15.75" customHeight="1" x14ac:dyDescent="0.25">
      <c r="A358" s="7"/>
    </row>
    <row r="359" spans="1:1" ht="15.75" customHeight="1" x14ac:dyDescent="0.25">
      <c r="A359" s="7"/>
    </row>
    <row r="360" spans="1:1" ht="15.75" customHeight="1" x14ac:dyDescent="0.25">
      <c r="A360" s="7"/>
    </row>
    <row r="361" spans="1:1" ht="15.75" customHeight="1" x14ac:dyDescent="0.25">
      <c r="A361" s="7"/>
    </row>
    <row r="362" spans="1:1" ht="15.75" customHeight="1" x14ac:dyDescent="0.25">
      <c r="A362" s="7"/>
    </row>
    <row r="363" spans="1:1" ht="15.75" customHeight="1" x14ac:dyDescent="0.25">
      <c r="A363" s="7"/>
    </row>
    <row r="364" spans="1:1" ht="15.75" customHeight="1" x14ac:dyDescent="0.25">
      <c r="A364" s="7"/>
    </row>
    <row r="365" spans="1:1" ht="15.75" customHeight="1" x14ac:dyDescent="0.25">
      <c r="A365" s="7"/>
    </row>
    <row r="366" spans="1:1" ht="15.75" customHeight="1" x14ac:dyDescent="0.25">
      <c r="A366" s="7"/>
    </row>
    <row r="367" spans="1:1" ht="15.75" customHeight="1" x14ac:dyDescent="0.25">
      <c r="A367" s="7"/>
    </row>
    <row r="368" spans="1:1" ht="15.75" customHeight="1" x14ac:dyDescent="0.25">
      <c r="A368" s="7"/>
    </row>
    <row r="369" spans="1:1" ht="15.75" customHeight="1" x14ac:dyDescent="0.25">
      <c r="A369" s="7"/>
    </row>
    <row r="370" spans="1:1" ht="15.75" customHeight="1" x14ac:dyDescent="0.25">
      <c r="A370" s="7"/>
    </row>
    <row r="371" spans="1:1" ht="15.75" customHeight="1" x14ac:dyDescent="0.25">
      <c r="A371" s="7"/>
    </row>
    <row r="372" spans="1:1" ht="15.75" customHeight="1" x14ac:dyDescent="0.25">
      <c r="A372" s="7"/>
    </row>
    <row r="373" spans="1:1" ht="15.75" customHeight="1" x14ac:dyDescent="0.25">
      <c r="A373" s="7"/>
    </row>
    <row r="374" spans="1:1" ht="15.75" customHeight="1" x14ac:dyDescent="0.25">
      <c r="A374" s="7"/>
    </row>
    <row r="375" spans="1:1" ht="15.75" customHeight="1" x14ac:dyDescent="0.25">
      <c r="A375" s="7"/>
    </row>
    <row r="376" spans="1:1" ht="15.75" customHeight="1" x14ac:dyDescent="0.25">
      <c r="A376" s="7"/>
    </row>
    <row r="377" spans="1:1" ht="15.75" customHeight="1" x14ac:dyDescent="0.25">
      <c r="A377" s="7"/>
    </row>
    <row r="378" spans="1:1" ht="15.75" customHeight="1" x14ac:dyDescent="0.25">
      <c r="A378" s="7"/>
    </row>
    <row r="379" spans="1:1" ht="15.75" customHeight="1" x14ac:dyDescent="0.25">
      <c r="A379" s="7"/>
    </row>
    <row r="380" spans="1:1" ht="15.75" customHeight="1" x14ac:dyDescent="0.25">
      <c r="A380" s="7"/>
    </row>
    <row r="381" spans="1:1" ht="15.75" customHeight="1" x14ac:dyDescent="0.25">
      <c r="A381" s="7"/>
    </row>
    <row r="382" spans="1:1" ht="15.75" customHeight="1" x14ac:dyDescent="0.25">
      <c r="A382" s="7"/>
    </row>
    <row r="383" spans="1:1" ht="15.75" customHeight="1" x14ac:dyDescent="0.25">
      <c r="A383" s="7"/>
    </row>
    <row r="384" spans="1:1" ht="15.75" customHeight="1" x14ac:dyDescent="0.25">
      <c r="A384" s="7"/>
    </row>
    <row r="385" spans="1:1" ht="15.75" customHeight="1" x14ac:dyDescent="0.25">
      <c r="A385" s="7"/>
    </row>
    <row r="386" spans="1:1" ht="15.75" customHeight="1" x14ac:dyDescent="0.25">
      <c r="A386" s="7"/>
    </row>
    <row r="387" spans="1:1" ht="15.75" customHeight="1" x14ac:dyDescent="0.25">
      <c r="A387" s="7"/>
    </row>
    <row r="388" spans="1:1" ht="15.75" customHeight="1" x14ac:dyDescent="0.25">
      <c r="A388" s="7"/>
    </row>
    <row r="389" spans="1:1" ht="15.75" customHeight="1" x14ac:dyDescent="0.25">
      <c r="A389" s="7"/>
    </row>
    <row r="390" spans="1:1" ht="15.75" customHeight="1" x14ac:dyDescent="0.25">
      <c r="A390" s="7"/>
    </row>
    <row r="391" spans="1:1" ht="15.75" customHeight="1" x14ac:dyDescent="0.25">
      <c r="A391" s="7"/>
    </row>
    <row r="392" spans="1:1" ht="15.75" customHeight="1" x14ac:dyDescent="0.25">
      <c r="A392" s="7"/>
    </row>
    <row r="393" spans="1:1" ht="15.75" customHeight="1" x14ac:dyDescent="0.25">
      <c r="A393" s="7"/>
    </row>
    <row r="394" spans="1:1" ht="15.75" customHeight="1" x14ac:dyDescent="0.25">
      <c r="A394" s="7"/>
    </row>
    <row r="395" spans="1:1" ht="15.75" customHeight="1" x14ac:dyDescent="0.25">
      <c r="A395" s="7"/>
    </row>
    <row r="396" spans="1:1" ht="15.75" customHeight="1" x14ac:dyDescent="0.25">
      <c r="A396" s="7"/>
    </row>
    <row r="397" spans="1:1" ht="15.75" customHeight="1" x14ac:dyDescent="0.25">
      <c r="A397" s="7"/>
    </row>
    <row r="398" spans="1:1" ht="15.75" customHeight="1" x14ac:dyDescent="0.25">
      <c r="A398" s="7"/>
    </row>
    <row r="399" spans="1:1" ht="15.75" customHeight="1" x14ac:dyDescent="0.25">
      <c r="A399" s="7"/>
    </row>
    <row r="400" spans="1:1" ht="15.75" customHeight="1" x14ac:dyDescent="0.25">
      <c r="A400" s="7"/>
    </row>
    <row r="401" spans="1:1" ht="15.75" customHeight="1" x14ac:dyDescent="0.25">
      <c r="A401" s="7"/>
    </row>
    <row r="402" spans="1:1" ht="15.75" customHeight="1" x14ac:dyDescent="0.25">
      <c r="A402" s="7"/>
    </row>
    <row r="403" spans="1:1" ht="15.75" customHeight="1" x14ac:dyDescent="0.25">
      <c r="A403" s="7"/>
    </row>
    <row r="404" spans="1:1" ht="15.75" customHeight="1" x14ac:dyDescent="0.25">
      <c r="A404" s="7"/>
    </row>
    <row r="405" spans="1:1" ht="15.75" customHeight="1" x14ac:dyDescent="0.25">
      <c r="A405" s="7"/>
    </row>
    <row r="406" spans="1:1" ht="15.75" customHeight="1" x14ac:dyDescent="0.25">
      <c r="A406" s="7"/>
    </row>
    <row r="407" spans="1:1" ht="15.75" customHeight="1" x14ac:dyDescent="0.25">
      <c r="A407" s="7"/>
    </row>
    <row r="408" spans="1:1" ht="15.75" customHeight="1" x14ac:dyDescent="0.25">
      <c r="A408" s="7"/>
    </row>
    <row r="409" spans="1:1" ht="15.75" customHeight="1" x14ac:dyDescent="0.25">
      <c r="A409" s="7"/>
    </row>
    <row r="410" spans="1:1" ht="15.75" customHeight="1" x14ac:dyDescent="0.25">
      <c r="A410" s="7"/>
    </row>
    <row r="411" spans="1:1" ht="15.75" customHeight="1" x14ac:dyDescent="0.25">
      <c r="A411" s="7"/>
    </row>
    <row r="412" spans="1:1" ht="15.75" customHeight="1" x14ac:dyDescent="0.25">
      <c r="A412" s="7"/>
    </row>
    <row r="413" spans="1:1" ht="15.75" customHeight="1" x14ac:dyDescent="0.25">
      <c r="A413" s="7"/>
    </row>
    <row r="414" spans="1:1" ht="15.75" customHeight="1" x14ac:dyDescent="0.25">
      <c r="A414" s="7"/>
    </row>
    <row r="415" spans="1:1" ht="15.75" customHeight="1" x14ac:dyDescent="0.25">
      <c r="A415" s="7"/>
    </row>
    <row r="416" spans="1:1" ht="15.75" customHeight="1" x14ac:dyDescent="0.25">
      <c r="A416" s="7"/>
    </row>
    <row r="417" spans="1:1" ht="15.75" customHeight="1" x14ac:dyDescent="0.25">
      <c r="A417" s="7"/>
    </row>
    <row r="418" spans="1:1" ht="15.75" customHeight="1" x14ac:dyDescent="0.25">
      <c r="A418" s="7"/>
    </row>
    <row r="419" spans="1:1" ht="15.75" customHeight="1" x14ac:dyDescent="0.25">
      <c r="A419" s="7"/>
    </row>
    <row r="420" spans="1:1" ht="15.75" customHeight="1" x14ac:dyDescent="0.25">
      <c r="A420" s="7"/>
    </row>
    <row r="421" spans="1:1" ht="15.75" customHeight="1" x14ac:dyDescent="0.25">
      <c r="A421" s="7"/>
    </row>
    <row r="422" spans="1:1" ht="15.75" customHeight="1" x14ac:dyDescent="0.25">
      <c r="A422" s="7"/>
    </row>
    <row r="423" spans="1:1" ht="15.75" customHeight="1" x14ac:dyDescent="0.25">
      <c r="A423" s="7"/>
    </row>
    <row r="424" spans="1:1" ht="15.75" customHeight="1" x14ac:dyDescent="0.25">
      <c r="A424" s="7"/>
    </row>
    <row r="425" spans="1:1" ht="15.75" customHeight="1" x14ac:dyDescent="0.25">
      <c r="A425" s="7"/>
    </row>
    <row r="426" spans="1:1" ht="15.75" customHeight="1" x14ac:dyDescent="0.25">
      <c r="A426" s="7"/>
    </row>
    <row r="427" spans="1:1" ht="15.75" customHeight="1" x14ac:dyDescent="0.25">
      <c r="A427" s="7"/>
    </row>
    <row r="428" spans="1:1" ht="15.75" customHeight="1" x14ac:dyDescent="0.25">
      <c r="A428" s="7"/>
    </row>
    <row r="429" spans="1:1" ht="15.75" customHeight="1" x14ac:dyDescent="0.25">
      <c r="A429" s="7"/>
    </row>
    <row r="430" spans="1:1" ht="15.75" customHeight="1" x14ac:dyDescent="0.25">
      <c r="A430" s="7"/>
    </row>
    <row r="431" spans="1:1" ht="15.75" customHeight="1" x14ac:dyDescent="0.25">
      <c r="A431" s="7"/>
    </row>
    <row r="432" spans="1:1" ht="15.75" customHeight="1" x14ac:dyDescent="0.25">
      <c r="A432" s="7"/>
    </row>
    <row r="433" spans="1:1" ht="15.75" customHeight="1" x14ac:dyDescent="0.25">
      <c r="A433" s="7"/>
    </row>
    <row r="434" spans="1:1" ht="15.75" customHeight="1" x14ac:dyDescent="0.25">
      <c r="A434" s="7"/>
    </row>
    <row r="435" spans="1:1" ht="15.75" customHeight="1" x14ac:dyDescent="0.25">
      <c r="A435" s="7"/>
    </row>
    <row r="436" spans="1:1" ht="15.75" customHeight="1" x14ac:dyDescent="0.25">
      <c r="A436" s="7"/>
    </row>
    <row r="437" spans="1:1" ht="15.75" customHeight="1" x14ac:dyDescent="0.25">
      <c r="A437" s="7"/>
    </row>
    <row r="438" spans="1:1" ht="15.75" customHeight="1" x14ac:dyDescent="0.25">
      <c r="A438" s="7"/>
    </row>
    <row r="439" spans="1:1" ht="15.75" customHeight="1" x14ac:dyDescent="0.25">
      <c r="A439" s="7"/>
    </row>
    <row r="440" spans="1:1" ht="15.75" customHeight="1" x14ac:dyDescent="0.25">
      <c r="A440" s="7"/>
    </row>
    <row r="441" spans="1:1" ht="15.75" customHeight="1" x14ac:dyDescent="0.25">
      <c r="A441" s="7"/>
    </row>
    <row r="442" spans="1:1" ht="15.75" customHeight="1" x14ac:dyDescent="0.25">
      <c r="A442" s="7"/>
    </row>
    <row r="443" spans="1:1" ht="15.75" customHeight="1" x14ac:dyDescent="0.25">
      <c r="A443" s="7"/>
    </row>
    <row r="444" spans="1:1" ht="15.75" customHeight="1" x14ac:dyDescent="0.25">
      <c r="A444" s="7"/>
    </row>
    <row r="445" spans="1:1" ht="15.75" customHeight="1" x14ac:dyDescent="0.25">
      <c r="A445" s="7"/>
    </row>
    <row r="446" spans="1:1" ht="15.75" customHeight="1" x14ac:dyDescent="0.25">
      <c r="A446" s="7"/>
    </row>
    <row r="447" spans="1:1" ht="15.75" customHeight="1" x14ac:dyDescent="0.25">
      <c r="A447" s="7"/>
    </row>
    <row r="448" spans="1:1" ht="15.75" customHeight="1" x14ac:dyDescent="0.25">
      <c r="A448" s="7"/>
    </row>
    <row r="449" spans="1:1" ht="15.75" customHeight="1" x14ac:dyDescent="0.25">
      <c r="A449" s="7"/>
    </row>
    <row r="450" spans="1:1" ht="15.75" customHeight="1" x14ac:dyDescent="0.25">
      <c r="A450" s="7"/>
    </row>
    <row r="451" spans="1:1" ht="15.75" customHeight="1" x14ac:dyDescent="0.25">
      <c r="A451" s="7"/>
    </row>
    <row r="452" spans="1:1" ht="15.75" customHeight="1" x14ac:dyDescent="0.25">
      <c r="A452" s="7"/>
    </row>
    <row r="453" spans="1:1" ht="15.75" customHeight="1" x14ac:dyDescent="0.25">
      <c r="A453" s="7"/>
    </row>
    <row r="454" spans="1:1" ht="15.75" customHeight="1" x14ac:dyDescent="0.25">
      <c r="A454" s="7"/>
    </row>
    <row r="455" spans="1:1" ht="15.75" customHeight="1" x14ac:dyDescent="0.25">
      <c r="A455" s="7"/>
    </row>
    <row r="456" spans="1:1" ht="15.75" customHeight="1" x14ac:dyDescent="0.25">
      <c r="A456" s="7"/>
    </row>
    <row r="457" spans="1:1" ht="15.75" customHeight="1" x14ac:dyDescent="0.25">
      <c r="A457" s="7"/>
    </row>
    <row r="458" spans="1:1" ht="15.75" customHeight="1" x14ac:dyDescent="0.25">
      <c r="A458" s="7"/>
    </row>
    <row r="459" spans="1:1" ht="15.75" customHeight="1" x14ac:dyDescent="0.25">
      <c r="A459" s="7"/>
    </row>
    <row r="460" spans="1:1" ht="15.75" customHeight="1" x14ac:dyDescent="0.25">
      <c r="A460" s="7"/>
    </row>
    <row r="461" spans="1:1" ht="15.75" customHeight="1" x14ac:dyDescent="0.25">
      <c r="A461" s="7"/>
    </row>
    <row r="462" spans="1:1" ht="15.75" customHeight="1" x14ac:dyDescent="0.25">
      <c r="A462" s="7"/>
    </row>
    <row r="463" spans="1:1" ht="15.75" customHeight="1" x14ac:dyDescent="0.25">
      <c r="A463" s="7"/>
    </row>
    <row r="464" spans="1:1" ht="15.75" customHeight="1" x14ac:dyDescent="0.25">
      <c r="A464" s="7"/>
    </row>
    <row r="465" spans="1:1" ht="15.75" customHeight="1" x14ac:dyDescent="0.25">
      <c r="A465" s="7"/>
    </row>
    <row r="466" spans="1:1" ht="15.75" customHeight="1" x14ac:dyDescent="0.25">
      <c r="A466" s="7"/>
    </row>
    <row r="467" spans="1:1" ht="15.75" customHeight="1" x14ac:dyDescent="0.25">
      <c r="A467" s="7"/>
    </row>
    <row r="468" spans="1:1" ht="15.75" customHeight="1" x14ac:dyDescent="0.25">
      <c r="A468" s="7"/>
    </row>
    <row r="469" spans="1:1" ht="15.75" customHeight="1" x14ac:dyDescent="0.25">
      <c r="A469" s="7"/>
    </row>
    <row r="470" spans="1:1" ht="15.75" customHeight="1" x14ac:dyDescent="0.25">
      <c r="A470" s="7"/>
    </row>
    <row r="471" spans="1:1" ht="15.75" customHeight="1" x14ac:dyDescent="0.25">
      <c r="A471" s="7"/>
    </row>
    <row r="472" spans="1:1" ht="15.75" customHeight="1" x14ac:dyDescent="0.25">
      <c r="A472" s="7"/>
    </row>
    <row r="473" spans="1:1" ht="15.75" customHeight="1" x14ac:dyDescent="0.25">
      <c r="A473" s="7"/>
    </row>
    <row r="474" spans="1:1" ht="15.75" customHeight="1" x14ac:dyDescent="0.25">
      <c r="A474" s="7"/>
    </row>
    <row r="475" spans="1:1" ht="15.75" customHeight="1" x14ac:dyDescent="0.25">
      <c r="A475" s="7"/>
    </row>
    <row r="476" spans="1:1" ht="15.75" customHeight="1" x14ac:dyDescent="0.25">
      <c r="A476" s="7"/>
    </row>
    <row r="477" spans="1:1" ht="15.75" customHeight="1" x14ac:dyDescent="0.25">
      <c r="A477" s="7"/>
    </row>
    <row r="478" spans="1:1" ht="15.75" customHeight="1" x14ac:dyDescent="0.25">
      <c r="A478" s="7"/>
    </row>
    <row r="479" spans="1:1" ht="15.75" customHeight="1" x14ac:dyDescent="0.25">
      <c r="A479" s="7"/>
    </row>
    <row r="480" spans="1:1" ht="15.75" customHeight="1" x14ac:dyDescent="0.25">
      <c r="A480" s="7"/>
    </row>
    <row r="481" spans="1:1" ht="15.75" customHeight="1" x14ac:dyDescent="0.25">
      <c r="A481" s="7"/>
    </row>
    <row r="482" spans="1:1" ht="15.75" customHeight="1" x14ac:dyDescent="0.25">
      <c r="A482" s="7"/>
    </row>
    <row r="483" spans="1:1" ht="15.75" customHeight="1" x14ac:dyDescent="0.25">
      <c r="A483" s="7"/>
    </row>
    <row r="484" spans="1:1" ht="15.75" customHeight="1" x14ac:dyDescent="0.25">
      <c r="A484" s="7"/>
    </row>
    <row r="485" spans="1:1" ht="15.75" customHeight="1" x14ac:dyDescent="0.25">
      <c r="A485" s="7"/>
    </row>
    <row r="486" spans="1:1" ht="15.75" customHeight="1" x14ac:dyDescent="0.25">
      <c r="A486" s="7"/>
    </row>
    <row r="487" spans="1:1" ht="15.75" customHeight="1" x14ac:dyDescent="0.25">
      <c r="A487" s="7"/>
    </row>
    <row r="488" spans="1:1" ht="15.75" customHeight="1" x14ac:dyDescent="0.25">
      <c r="A488" s="7"/>
    </row>
    <row r="489" spans="1:1" ht="15.75" customHeight="1" x14ac:dyDescent="0.25">
      <c r="A489" s="7"/>
    </row>
    <row r="490" spans="1:1" ht="15.75" customHeight="1" x14ac:dyDescent="0.25">
      <c r="A490" s="7"/>
    </row>
    <row r="491" spans="1:1" ht="15.75" customHeight="1" x14ac:dyDescent="0.25">
      <c r="A491" s="7"/>
    </row>
    <row r="492" spans="1:1" ht="15.75" customHeight="1" x14ac:dyDescent="0.25">
      <c r="A492" s="7"/>
    </row>
    <row r="493" spans="1:1" ht="15.75" customHeight="1" x14ac:dyDescent="0.25">
      <c r="A493" s="7"/>
    </row>
    <row r="494" spans="1:1" ht="15.75" customHeight="1" x14ac:dyDescent="0.25">
      <c r="A494" s="7"/>
    </row>
    <row r="495" spans="1:1" ht="15.75" customHeight="1" x14ac:dyDescent="0.25">
      <c r="A495" s="7"/>
    </row>
    <row r="496" spans="1:1" ht="15.75" customHeight="1" x14ac:dyDescent="0.25">
      <c r="A496" s="7"/>
    </row>
    <row r="497" spans="1:1" ht="15.75" customHeight="1" x14ac:dyDescent="0.25">
      <c r="A497" s="7"/>
    </row>
    <row r="498" spans="1:1" ht="15.75" customHeight="1" x14ac:dyDescent="0.25">
      <c r="A498" s="7"/>
    </row>
    <row r="499" spans="1:1" ht="15.75" customHeight="1" x14ac:dyDescent="0.25">
      <c r="A499" s="7"/>
    </row>
    <row r="500" spans="1:1" ht="15.75" customHeight="1" x14ac:dyDescent="0.25">
      <c r="A500" s="7"/>
    </row>
    <row r="501" spans="1:1" ht="15.75" customHeight="1" x14ac:dyDescent="0.25">
      <c r="A501" s="7"/>
    </row>
    <row r="502" spans="1:1" ht="15.75" customHeight="1" x14ac:dyDescent="0.25">
      <c r="A502" s="7"/>
    </row>
    <row r="503" spans="1:1" ht="15.75" customHeight="1" x14ac:dyDescent="0.25">
      <c r="A503" s="7"/>
    </row>
    <row r="504" spans="1:1" ht="15.75" customHeight="1" x14ac:dyDescent="0.25">
      <c r="A504" s="7"/>
    </row>
    <row r="505" spans="1:1" ht="15.75" customHeight="1" x14ac:dyDescent="0.25">
      <c r="A505" s="7"/>
    </row>
    <row r="506" spans="1:1" ht="15.75" customHeight="1" x14ac:dyDescent="0.25">
      <c r="A506" s="7"/>
    </row>
    <row r="507" spans="1:1" ht="15.75" customHeight="1" x14ac:dyDescent="0.25">
      <c r="A507" s="7"/>
    </row>
    <row r="508" spans="1:1" ht="15.75" customHeight="1" x14ac:dyDescent="0.25">
      <c r="A508" s="7"/>
    </row>
    <row r="509" spans="1:1" ht="15.75" customHeight="1" x14ac:dyDescent="0.25">
      <c r="A509" s="7"/>
    </row>
    <row r="510" spans="1:1" ht="15.75" customHeight="1" x14ac:dyDescent="0.25">
      <c r="A510" s="7"/>
    </row>
    <row r="511" spans="1:1" ht="15.75" customHeight="1" x14ac:dyDescent="0.25">
      <c r="A511" s="7"/>
    </row>
    <row r="512" spans="1:1" ht="15.75" customHeight="1" x14ac:dyDescent="0.25">
      <c r="A512" s="7"/>
    </row>
    <row r="513" spans="1:1" ht="15.75" customHeight="1" x14ac:dyDescent="0.25">
      <c r="A513" s="7"/>
    </row>
    <row r="514" spans="1:1" ht="15.75" customHeight="1" x14ac:dyDescent="0.25">
      <c r="A514" s="7"/>
    </row>
    <row r="515" spans="1:1" ht="15.75" customHeight="1" x14ac:dyDescent="0.25">
      <c r="A515" s="7"/>
    </row>
    <row r="516" spans="1:1" ht="15.75" customHeight="1" x14ac:dyDescent="0.25">
      <c r="A516" s="7"/>
    </row>
    <row r="517" spans="1:1" ht="15.75" customHeight="1" x14ac:dyDescent="0.25">
      <c r="A517" s="7"/>
    </row>
    <row r="518" spans="1:1" ht="15.75" customHeight="1" x14ac:dyDescent="0.25">
      <c r="A518" s="7"/>
    </row>
    <row r="519" spans="1:1" ht="15.75" customHeight="1" x14ac:dyDescent="0.25">
      <c r="A519" s="7"/>
    </row>
    <row r="520" spans="1:1" ht="15.75" customHeight="1" x14ac:dyDescent="0.25">
      <c r="A520" s="7"/>
    </row>
    <row r="521" spans="1:1" ht="15.75" customHeight="1" x14ac:dyDescent="0.25">
      <c r="A521" s="7"/>
    </row>
    <row r="522" spans="1:1" ht="15.75" customHeight="1" x14ac:dyDescent="0.25">
      <c r="A522" s="7"/>
    </row>
    <row r="523" spans="1:1" ht="15.75" customHeight="1" x14ac:dyDescent="0.25">
      <c r="A523" s="7"/>
    </row>
    <row r="524" spans="1:1" ht="15.75" customHeight="1" x14ac:dyDescent="0.25">
      <c r="A524" s="7"/>
    </row>
    <row r="525" spans="1:1" ht="15.75" customHeight="1" x14ac:dyDescent="0.25">
      <c r="A525" s="7"/>
    </row>
    <row r="526" spans="1:1" ht="15.75" customHeight="1" x14ac:dyDescent="0.25">
      <c r="A526" s="7"/>
    </row>
    <row r="527" spans="1:1" ht="15.75" customHeight="1" x14ac:dyDescent="0.25">
      <c r="A527" s="7"/>
    </row>
    <row r="528" spans="1:1" ht="15.75" customHeight="1" x14ac:dyDescent="0.25">
      <c r="A528" s="7"/>
    </row>
    <row r="529" spans="1:1" ht="15.75" customHeight="1" x14ac:dyDescent="0.25">
      <c r="A529" s="7"/>
    </row>
    <row r="530" spans="1:1" ht="15.75" customHeight="1" x14ac:dyDescent="0.25">
      <c r="A530" s="7"/>
    </row>
    <row r="531" spans="1:1" ht="15.75" customHeight="1" x14ac:dyDescent="0.25">
      <c r="A531" s="7"/>
    </row>
    <row r="532" spans="1:1" ht="15.75" customHeight="1" x14ac:dyDescent="0.25">
      <c r="A532" s="7"/>
    </row>
    <row r="533" spans="1:1" ht="15.75" customHeight="1" x14ac:dyDescent="0.25">
      <c r="A533" s="7"/>
    </row>
    <row r="534" spans="1:1" ht="15.75" customHeight="1" x14ac:dyDescent="0.25">
      <c r="A534" s="7"/>
    </row>
    <row r="535" spans="1:1" ht="15.75" customHeight="1" x14ac:dyDescent="0.25">
      <c r="A535" s="7"/>
    </row>
    <row r="536" spans="1:1" ht="15.75" customHeight="1" x14ac:dyDescent="0.25">
      <c r="A536" s="7"/>
    </row>
    <row r="537" spans="1:1" ht="15.75" customHeight="1" x14ac:dyDescent="0.25">
      <c r="A537" s="7"/>
    </row>
    <row r="538" spans="1:1" ht="15.75" customHeight="1" x14ac:dyDescent="0.25">
      <c r="A538" s="7"/>
    </row>
    <row r="539" spans="1:1" ht="15.75" customHeight="1" x14ac:dyDescent="0.25">
      <c r="A539" s="7"/>
    </row>
    <row r="540" spans="1:1" ht="15.75" customHeight="1" x14ac:dyDescent="0.25">
      <c r="A540" s="7"/>
    </row>
    <row r="541" spans="1:1" ht="15.75" customHeight="1" x14ac:dyDescent="0.25">
      <c r="A541" s="7"/>
    </row>
    <row r="542" spans="1:1" ht="15.75" customHeight="1" x14ac:dyDescent="0.25">
      <c r="A542" s="7"/>
    </row>
    <row r="543" spans="1:1" ht="15.75" customHeight="1" x14ac:dyDescent="0.25">
      <c r="A543" s="7"/>
    </row>
    <row r="544" spans="1:1" ht="15.75" customHeight="1" x14ac:dyDescent="0.25">
      <c r="A544" s="7"/>
    </row>
    <row r="545" spans="1:1" ht="15.75" customHeight="1" x14ac:dyDescent="0.25">
      <c r="A545" s="7"/>
    </row>
    <row r="546" spans="1:1" ht="15.75" customHeight="1" x14ac:dyDescent="0.25">
      <c r="A546" s="7"/>
    </row>
    <row r="547" spans="1:1" ht="15.75" customHeight="1" x14ac:dyDescent="0.25">
      <c r="A547" s="7"/>
    </row>
    <row r="548" spans="1:1" ht="15.75" customHeight="1" x14ac:dyDescent="0.25">
      <c r="A548" s="7"/>
    </row>
    <row r="549" spans="1:1" ht="15.75" customHeight="1" x14ac:dyDescent="0.25">
      <c r="A549" s="7"/>
    </row>
    <row r="550" spans="1:1" ht="15.75" customHeight="1" x14ac:dyDescent="0.25">
      <c r="A550" s="7"/>
    </row>
    <row r="551" spans="1:1" ht="15.75" customHeight="1" x14ac:dyDescent="0.25">
      <c r="A551" s="7"/>
    </row>
    <row r="552" spans="1:1" ht="15.75" customHeight="1" x14ac:dyDescent="0.25">
      <c r="A552" s="7"/>
    </row>
    <row r="553" spans="1:1" ht="15.75" customHeight="1" x14ac:dyDescent="0.25">
      <c r="A553" s="7"/>
    </row>
    <row r="554" spans="1:1" ht="15.75" customHeight="1" x14ac:dyDescent="0.25">
      <c r="A554" s="7"/>
    </row>
    <row r="555" spans="1:1" ht="15.75" customHeight="1" x14ac:dyDescent="0.25">
      <c r="A555" s="7"/>
    </row>
    <row r="556" spans="1:1" ht="15.75" customHeight="1" x14ac:dyDescent="0.25">
      <c r="A556" s="7"/>
    </row>
    <row r="557" spans="1:1" ht="15.75" customHeight="1" x14ac:dyDescent="0.25">
      <c r="A557" s="7"/>
    </row>
    <row r="558" spans="1:1" ht="15.75" customHeight="1" x14ac:dyDescent="0.25">
      <c r="A558" s="7"/>
    </row>
    <row r="559" spans="1:1" ht="15.75" customHeight="1" x14ac:dyDescent="0.25">
      <c r="A559" s="7"/>
    </row>
    <row r="560" spans="1:1" ht="15.75" customHeight="1" x14ac:dyDescent="0.25">
      <c r="A560" s="7"/>
    </row>
    <row r="561" spans="1:1" ht="15.75" customHeight="1" x14ac:dyDescent="0.25">
      <c r="A561" s="7"/>
    </row>
    <row r="562" spans="1:1" ht="15.75" customHeight="1" x14ac:dyDescent="0.25">
      <c r="A562" s="7"/>
    </row>
    <row r="563" spans="1:1" ht="15.75" customHeight="1" x14ac:dyDescent="0.25">
      <c r="A563" s="7"/>
    </row>
    <row r="564" spans="1:1" ht="15.75" customHeight="1" x14ac:dyDescent="0.25">
      <c r="A564" s="7"/>
    </row>
    <row r="565" spans="1:1" ht="15.75" customHeight="1" x14ac:dyDescent="0.25">
      <c r="A565" s="7"/>
    </row>
    <row r="566" spans="1:1" ht="15.75" customHeight="1" x14ac:dyDescent="0.25">
      <c r="A566" s="7"/>
    </row>
    <row r="567" spans="1:1" ht="15.75" customHeight="1" x14ac:dyDescent="0.25">
      <c r="A567" s="7"/>
    </row>
    <row r="568" spans="1:1" ht="15.75" customHeight="1" x14ac:dyDescent="0.25">
      <c r="A568" s="7"/>
    </row>
    <row r="569" spans="1:1" ht="15.75" customHeight="1" x14ac:dyDescent="0.25">
      <c r="A569" s="7"/>
    </row>
    <row r="570" spans="1:1" ht="15.75" customHeight="1" x14ac:dyDescent="0.25">
      <c r="A570" s="7"/>
    </row>
    <row r="571" spans="1:1" ht="15.75" customHeight="1" x14ac:dyDescent="0.25">
      <c r="A571" s="7"/>
    </row>
    <row r="572" spans="1:1" ht="15.75" customHeight="1" x14ac:dyDescent="0.25">
      <c r="A572" s="7"/>
    </row>
    <row r="573" spans="1:1" ht="15.75" customHeight="1" x14ac:dyDescent="0.25">
      <c r="A573" s="7"/>
    </row>
    <row r="574" spans="1:1" ht="15.75" customHeight="1" x14ac:dyDescent="0.25">
      <c r="A574" s="7"/>
    </row>
    <row r="575" spans="1:1" ht="15.75" customHeight="1" x14ac:dyDescent="0.25">
      <c r="A575" s="7"/>
    </row>
    <row r="576" spans="1:1" ht="15.75" customHeight="1" x14ac:dyDescent="0.25">
      <c r="A576" s="7"/>
    </row>
    <row r="577" spans="1:1" ht="15.75" customHeight="1" x14ac:dyDescent="0.25">
      <c r="A577" s="7"/>
    </row>
    <row r="578" spans="1:1" ht="15.75" customHeight="1" x14ac:dyDescent="0.25">
      <c r="A578" s="7"/>
    </row>
    <row r="579" spans="1:1" ht="15.75" customHeight="1" x14ac:dyDescent="0.25">
      <c r="A579" s="7"/>
    </row>
    <row r="580" spans="1:1" ht="15.75" customHeight="1" x14ac:dyDescent="0.25">
      <c r="A580" s="7"/>
    </row>
    <row r="581" spans="1:1" ht="15.75" customHeight="1" x14ac:dyDescent="0.25">
      <c r="A581" s="7"/>
    </row>
    <row r="582" spans="1:1" ht="15.75" customHeight="1" x14ac:dyDescent="0.25">
      <c r="A582" s="7"/>
    </row>
    <row r="583" spans="1:1" ht="15.75" customHeight="1" x14ac:dyDescent="0.25">
      <c r="A583" s="7"/>
    </row>
    <row r="584" spans="1:1" ht="15.75" customHeight="1" x14ac:dyDescent="0.25">
      <c r="A584" s="7"/>
    </row>
    <row r="585" spans="1:1" ht="15.75" customHeight="1" x14ac:dyDescent="0.25">
      <c r="A585" s="7"/>
    </row>
    <row r="586" spans="1:1" ht="15.75" customHeight="1" x14ac:dyDescent="0.25">
      <c r="A586" s="7"/>
    </row>
    <row r="587" spans="1:1" ht="15.75" customHeight="1" x14ac:dyDescent="0.25">
      <c r="A587" s="7"/>
    </row>
    <row r="588" spans="1:1" ht="15.75" customHeight="1" x14ac:dyDescent="0.25">
      <c r="A588" s="7"/>
    </row>
    <row r="589" spans="1:1" ht="15.75" customHeight="1" x14ac:dyDescent="0.25">
      <c r="A589" s="7"/>
    </row>
    <row r="590" spans="1:1" ht="15.75" customHeight="1" x14ac:dyDescent="0.25">
      <c r="A590" s="7"/>
    </row>
    <row r="591" spans="1:1" ht="15.75" customHeight="1" x14ac:dyDescent="0.25">
      <c r="A591" s="7"/>
    </row>
    <row r="592" spans="1:1" ht="15.75" customHeight="1" x14ac:dyDescent="0.25">
      <c r="A592" s="7"/>
    </row>
    <row r="593" spans="1:1" ht="15.75" customHeight="1" x14ac:dyDescent="0.25">
      <c r="A593" s="7"/>
    </row>
    <row r="594" spans="1:1" ht="15.75" customHeight="1" x14ac:dyDescent="0.25">
      <c r="A594" s="7"/>
    </row>
    <row r="595" spans="1:1" ht="15.75" customHeight="1" x14ac:dyDescent="0.25">
      <c r="A595" s="7"/>
    </row>
    <row r="596" spans="1:1" ht="15.75" customHeight="1" x14ac:dyDescent="0.25">
      <c r="A596" s="7"/>
    </row>
    <row r="597" spans="1:1" ht="15.75" customHeight="1" x14ac:dyDescent="0.25">
      <c r="A597" s="7"/>
    </row>
    <row r="598" spans="1:1" ht="15.75" customHeight="1" x14ac:dyDescent="0.25">
      <c r="A598" s="7"/>
    </row>
    <row r="599" spans="1:1" ht="15.75" customHeight="1" x14ac:dyDescent="0.25">
      <c r="A599" s="7"/>
    </row>
    <row r="600" spans="1:1" ht="15.75" customHeight="1" x14ac:dyDescent="0.25">
      <c r="A600" s="7"/>
    </row>
    <row r="601" spans="1:1" ht="15.75" customHeight="1" x14ac:dyDescent="0.25">
      <c r="A601" s="7"/>
    </row>
    <row r="602" spans="1:1" ht="15.75" customHeight="1" x14ac:dyDescent="0.25">
      <c r="A602" s="7"/>
    </row>
    <row r="603" spans="1:1" ht="15.75" customHeight="1" x14ac:dyDescent="0.25">
      <c r="A603" s="7"/>
    </row>
    <row r="604" spans="1:1" ht="15.75" customHeight="1" x14ac:dyDescent="0.25">
      <c r="A604" s="7"/>
    </row>
    <row r="605" spans="1:1" ht="15.75" customHeight="1" x14ac:dyDescent="0.25">
      <c r="A605" s="7"/>
    </row>
    <row r="606" spans="1:1" ht="15.75" customHeight="1" x14ac:dyDescent="0.25">
      <c r="A606" s="7"/>
    </row>
    <row r="607" spans="1:1" ht="15.75" customHeight="1" x14ac:dyDescent="0.25">
      <c r="A607" s="7"/>
    </row>
    <row r="608" spans="1:1" ht="15.75" customHeight="1" x14ac:dyDescent="0.25">
      <c r="A608" s="7"/>
    </row>
    <row r="609" spans="1:1" ht="15.75" customHeight="1" x14ac:dyDescent="0.25">
      <c r="A609" s="7"/>
    </row>
    <row r="610" spans="1:1" ht="15.75" customHeight="1" x14ac:dyDescent="0.25">
      <c r="A610" s="7"/>
    </row>
    <row r="611" spans="1:1" ht="15.75" customHeight="1" x14ac:dyDescent="0.25">
      <c r="A611" s="7"/>
    </row>
    <row r="612" spans="1:1" ht="15.75" customHeight="1" x14ac:dyDescent="0.25">
      <c r="A612" s="7"/>
    </row>
    <row r="613" spans="1:1" ht="15.75" customHeight="1" x14ac:dyDescent="0.25">
      <c r="A613" s="7"/>
    </row>
    <row r="614" spans="1:1" ht="15.75" customHeight="1" x14ac:dyDescent="0.25">
      <c r="A614" s="7"/>
    </row>
    <row r="615" spans="1:1" ht="15.75" customHeight="1" x14ac:dyDescent="0.25">
      <c r="A615" s="7"/>
    </row>
    <row r="616" spans="1:1" ht="15.75" customHeight="1" x14ac:dyDescent="0.25">
      <c r="A616" s="7"/>
    </row>
    <row r="617" spans="1:1" ht="15.75" customHeight="1" x14ac:dyDescent="0.25">
      <c r="A617" s="7"/>
    </row>
    <row r="618" spans="1:1" ht="15.75" customHeight="1" x14ac:dyDescent="0.25">
      <c r="A618" s="7"/>
    </row>
    <row r="619" spans="1:1" ht="15.75" customHeight="1" x14ac:dyDescent="0.25">
      <c r="A619" s="7"/>
    </row>
    <row r="620" spans="1:1" ht="15.75" customHeight="1" x14ac:dyDescent="0.25">
      <c r="A620" s="7"/>
    </row>
    <row r="621" spans="1:1" ht="15.75" customHeight="1" x14ac:dyDescent="0.25">
      <c r="A621" s="7"/>
    </row>
    <row r="622" spans="1:1" ht="15.75" customHeight="1" x14ac:dyDescent="0.25">
      <c r="A622" s="7"/>
    </row>
    <row r="623" spans="1:1" ht="15.75" customHeight="1" x14ac:dyDescent="0.25">
      <c r="A623" s="7"/>
    </row>
    <row r="624" spans="1:1" ht="15.75" customHeight="1" x14ac:dyDescent="0.25">
      <c r="A624" s="7"/>
    </row>
    <row r="625" spans="1:1" ht="15.75" customHeight="1" x14ac:dyDescent="0.25">
      <c r="A625" s="7"/>
    </row>
    <row r="626" spans="1:1" ht="15.75" customHeight="1" x14ac:dyDescent="0.25">
      <c r="A626" s="7"/>
    </row>
    <row r="627" spans="1:1" ht="15.75" customHeight="1" x14ac:dyDescent="0.25">
      <c r="A627" s="7"/>
    </row>
    <row r="628" spans="1:1" ht="15.75" customHeight="1" x14ac:dyDescent="0.25">
      <c r="A628" s="7"/>
    </row>
    <row r="629" spans="1:1" ht="15.75" customHeight="1" x14ac:dyDescent="0.25">
      <c r="A629" s="7"/>
    </row>
    <row r="630" spans="1:1" ht="15.75" customHeight="1" x14ac:dyDescent="0.25">
      <c r="A630" s="7"/>
    </row>
    <row r="631" spans="1:1" ht="15.75" customHeight="1" x14ac:dyDescent="0.25">
      <c r="A631" s="7"/>
    </row>
    <row r="632" spans="1:1" ht="15.75" customHeight="1" x14ac:dyDescent="0.25">
      <c r="A632" s="7"/>
    </row>
    <row r="633" spans="1:1" ht="15.75" customHeight="1" x14ac:dyDescent="0.25">
      <c r="A633" s="7"/>
    </row>
    <row r="634" spans="1:1" ht="15.75" customHeight="1" x14ac:dyDescent="0.25">
      <c r="A634" s="7"/>
    </row>
    <row r="635" spans="1:1" ht="15.75" customHeight="1" x14ac:dyDescent="0.25">
      <c r="A635" s="7"/>
    </row>
    <row r="636" spans="1:1" ht="15.75" customHeight="1" x14ac:dyDescent="0.25">
      <c r="A636" s="7"/>
    </row>
    <row r="637" spans="1:1" ht="15.75" customHeight="1" x14ac:dyDescent="0.25">
      <c r="A637" s="7"/>
    </row>
    <row r="638" spans="1:1" ht="15.75" customHeight="1" x14ac:dyDescent="0.25">
      <c r="A638" s="7"/>
    </row>
    <row r="639" spans="1:1" ht="15.75" customHeight="1" x14ac:dyDescent="0.25">
      <c r="A639" s="7"/>
    </row>
    <row r="640" spans="1:1" ht="15.75" customHeight="1" x14ac:dyDescent="0.25">
      <c r="A640" s="7"/>
    </row>
    <row r="641" spans="1:1" ht="15.75" customHeight="1" x14ac:dyDescent="0.25">
      <c r="A641" s="7"/>
    </row>
    <row r="642" spans="1:1" ht="15.75" customHeight="1" x14ac:dyDescent="0.25">
      <c r="A642" s="7"/>
    </row>
    <row r="643" spans="1:1" ht="15.75" customHeight="1" x14ac:dyDescent="0.25">
      <c r="A643" s="7"/>
    </row>
    <row r="644" spans="1:1" ht="15.75" customHeight="1" x14ac:dyDescent="0.25">
      <c r="A644" s="7"/>
    </row>
    <row r="645" spans="1:1" ht="15.75" customHeight="1" x14ac:dyDescent="0.25">
      <c r="A645" s="7"/>
    </row>
    <row r="646" spans="1:1" ht="15.75" customHeight="1" x14ac:dyDescent="0.25">
      <c r="A646" s="7"/>
    </row>
    <row r="647" spans="1:1" ht="15.75" customHeight="1" x14ac:dyDescent="0.25">
      <c r="A647" s="7"/>
    </row>
    <row r="648" spans="1:1" ht="15.75" customHeight="1" x14ac:dyDescent="0.25">
      <c r="A648" s="7"/>
    </row>
    <row r="649" spans="1:1" ht="15.75" customHeight="1" x14ac:dyDescent="0.25">
      <c r="A649" s="7"/>
    </row>
    <row r="650" spans="1:1" ht="15.75" customHeight="1" x14ac:dyDescent="0.25">
      <c r="A650" s="7"/>
    </row>
    <row r="651" spans="1:1" ht="15.75" customHeight="1" x14ac:dyDescent="0.25">
      <c r="A651" s="7"/>
    </row>
    <row r="652" spans="1:1" ht="15.75" customHeight="1" x14ac:dyDescent="0.25">
      <c r="A652" s="7"/>
    </row>
    <row r="653" spans="1:1" ht="15.75" customHeight="1" x14ac:dyDescent="0.25">
      <c r="A653" s="7"/>
    </row>
    <row r="654" spans="1:1" ht="15.75" customHeight="1" x14ac:dyDescent="0.25">
      <c r="A654" s="7"/>
    </row>
    <row r="655" spans="1:1" ht="15.75" customHeight="1" x14ac:dyDescent="0.25">
      <c r="A655" s="7"/>
    </row>
    <row r="656" spans="1:1" ht="15.75" customHeight="1" x14ac:dyDescent="0.25">
      <c r="A656" s="7"/>
    </row>
    <row r="657" spans="1:1" ht="15.75" customHeight="1" x14ac:dyDescent="0.25">
      <c r="A657" s="7"/>
    </row>
    <row r="658" spans="1:1" ht="15.75" customHeight="1" x14ac:dyDescent="0.25">
      <c r="A658" s="7"/>
    </row>
    <row r="659" spans="1:1" ht="15.75" customHeight="1" x14ac:dyDescent="0.25">
      <c r="A659" s="7"/>
    </row>
    <row r="660" spans="1:1" ht="15.75" customHeight="1" x14ac:dyDescent="0.25">
      <c r="A660" s="7"/>
    </row>
    <row r="661" spans="1:1" ht="15.75" customHeight="1" x14ac:dyDescent="0.25">
      <c r="A661" s="7"/>
    </row>
    <row r="662" spans="1:1" ht="15.75" customHeight="1" x14ac:dyDescent="0.25">
      <c r="A662" s="7"/>
    </row>
    <row r="663" spans="1:1" ht="15.75" customHeight="1" x14ac:dyDescent="0.25">
      <c r="A663" s="7"/>
    </row>
    <row r="664" spans="1:1" ht="15.75" customHeight="1" x14ac:dyDescent="0.25">
      <c r="A664" s="7"/>
    </row>
    <row r="665" spans="1:1" ht="15.75" customHeight="1" x14ac:dyDescent="0.25">
      <c r="A665" s="7"/>
    </row>
    <row r="666" spans="1:1" ht="15.75" customHeight="1" x14ac:dyDescent="0.25">
      <c r="A666" s="7"/>
    </row>
    <row r="667" spans="1:1" ht="15.75" customHeight="1" x14ac:dyDescent="0.25">
      <c r="A667" s="7"/>
    </row>
    <row r="668" spans="1:1" ht="15.75" customHeight="1" x14ac:dyDescent="0.25">
      <c r="A668" s="7"/>
    </row>
    <row r="669" spans="1:1" ht="15.75" customHeight="1" x14ac:dyDescent="0.25">
      <c r="A669" s="7"/>
    </row>
    <row r="670" spans="1:1" ht="15.75" customHeight="1" x14ac:dyDescent="0.25">
      <c r="A670" s="7"/>
    </row>
    <row r="671" spans="1:1" ht="15.75" customHeight="1" x14ac:dyDescent="0.25">
      <c r="A671" s="7"/>
    </row>
    <row r="672" spans="1:1" ht="15.75" customHeight="1" x14ac:dyDescent="0.25">
      <c r="A672" s="7"/>
    </row>
    <row r="673" spans="1:1" ht="15.75" customHeight="1" x14ac:dyDescent="0.25">
      <c r="A673" s="7"/>
    </row>
    <row r="674" spans="1:1" ht="15.75" customHeight="1" x14ac:dyDescent="0.25">
      <c r="A674" s="7"/>
    </row>
    <row r="675" spans="1:1" ht="15.75" customHeight="1" x14ac:dyDescent="0.25">
      <c r="A675" s="7"/>
    </row>
    <row r="676" spans="1:1" ht="15.75" customHeight="1" x14ac:dyDescent="0.25">
      <c r="A676" s="7"/>
    </row>
    <row r="677" spans="1:1" ht="15.75" customHeight="1" x14ac:dyDescent="0.25">
      <c r="A677" s="7"/>
    </row>
    <row r="678" spans="1:1" ht="15.75" customHeight="1" x14ac:dyDescent="0.25">
      <c r="A678" s="7"/>
    </row>
    <row r="679" spans="1:1" ht="15.75" customHeight="1" x14ac:dyDescent="0.25">
      <c r="A679" s="7"/>
    </row>
    <row r="680" spans="1:1" ht="15.75" customHeight="1" x14ac:dyDescent="0.25">
      <c r="A680" s="7"/>
    </row>
    <row r="681" spans="1:1" ht="15.75" customHeight="1" x14ac:dyDescent="0.25">
      <c r="A681" s="7"/>
    </row>
    <row r="682" spans="1:1" ht="15.75" customHeight="1" x14ac:dyDescent="0.25">
      <c r="A682" s="7"/>
    </row>
    <row r="683" spans="1:1" ht="15.75" customHeight="1" x14ac:dyDescent="0.25">
      <c r="A683" s="7"/>
    </row>
    <row r="684" spans="1:1" ht="15.75" customHeight="1" x14ac:dyDescent="0.25">
      <c r="A684" s="7"/>
    </row>
    <row r="685" spans="1:1" ht="15.75" customHeight="1" x14ac:dyDescent="0.25">
      <c r="A685" s="7"/>
    </row>
    <row r="686" spans="1:1" ht="15.75" customHeight="1" x14ac:dyDescent="0.25">
      <c r="A686" s="7"/>
    </row>
    <row r="687" spans="1:1" ht="15.75" customHeight="1" x14ac:dyDescent="0.25">
      <c r="A687" s="7"/>
    </row>
    <row r="688" spans="1:1" ht="15.75" customHeight="1" x14ac:dyDescent="0.25">
      <c r="A688" s="7"/>
    </row>
    <row r="689" spans="1:1" ht="15.75" customHeight="1" x14ac:dyDescent="0.25">
      <c r="A689" s="7"/>
    </row>
    <row r="690" spans="1:1" ht="15.75" customHeight="1" x14ac:dyDescent="0.25">
      <c r="A690" s="7"/>
    </row>
    <row r="691" spans="1:1" ht="15.75" customHeight="1" x14ac:dyDescent="0.25">
      <c r="A691" s="7"/>
    </row>
    <row r="692" spans="1:1" ht="15.75" customHeight="1" x14ac:dyDescent="0.25">
      <c r="A692" s="7"/>
    </row>
    <row r="693" spans="1:1" ht="15.75" customHeight="1" x14ac:dyDescent="0.25">
      <c r="A693" s="7"/>
    </row>
    <row r="694" spans="1:1" ht="15.75" customHeight="1" x14ac:dyDescent="0.25">
      <c r="A694" s="7"/>
    </row>
    <row r="695" spans="1:1" ht="15.75" customHeight="1" x14ac:dyDescent="0.25">
      <c r="A695" s="7"/>
    </row>
    <row r="696" spans="1:1" ht="15.75" customHeight="1" x14ac:dyDescent="0.25">
      <c r="A696" s="7"/>
    </row>
    <row r="697" spans="1:1" ht="15.75" customHeight="1" x14ac:dyDescent="0.25">
      <c r="A697" s="7"/>
    </row>
    <row r="698" spans="1:1" ht="15.75" customHeight="1" x14ac:dyDescent="0.25">
      <c r="A698" s="7"/>
    </row>
    <row r="699" spans="1:1" ht="15.75" customHeight="1" x14ac:dyDescent="0.25">
      <c r="A699" s="7"/>
    </row>
    <row r="700" spans="1:1" ht="15.75" customHeight="1" x14ac:dyDescent="0.25">
      <c r="A700" s="7"/>
    </row>
    <row r="701" spans="1:1" ht="15.75" customHeight="1" x14ac:dyDescent="0.25">
      <c r="A701" s="7"/>
    </row>
    <row r="702" spans="1:1" ht="15.75" customHeight="1" x14ac:dyDescent="0.25">
      <c r="A702" s="7"/>
    </row>
    <row r="703" spans="1:1" ht="15.75" customHeight="1" x14ac:dyDescent="0.25">
      <c r="A703" s="7"/>
    </row>
    <row r="704" spans="1:1" ht="15.75" customHeight="1" x14ac:dyDescent="0.25">
      <c r="A704" s="7"/>
    </row>
    <row r="705" spans="1:1" ht="15.75" customHeight="1" x14ac:dyDescent="0.25">
      <c r="A705" s="7"/>
    </row>
    <row r="706" spans="1:1" ht="15.75" customHeight="1" x14ac:dyDescent="0.25">
      <c r="A706" s="7"/>
    </row>
    <row r="707" spans="1:1" ht="15.75" customHeight="1" x14ac:dyDescent="0.25">
      <c r="A707" s="7"/>
    </row>
    <row r="708" spans="1:1" ht="15.75" customHeight="1" x14ac:dyDescent="0.25">
      <c r="A708" s="7"/>
    </row>
    <row r="709" spans="1:1" ht="15.75" customHeight="1" x14ac:dyDescent="0.25">
      <c r="A709" s="7"/>
    </row>
    <row r="710" spans="1:1" ht="15.75" customHeight="1" x14ac:dyDescent="0.25">
      <c r="A710" s="7"/>
    </row>
    <row r="711" spans="1:1" ht="15.75" customHeight="1" x14ac:dyDescent="0.25">
      <c r="A711" s="7"/>
    </row>
    <row r="712" spans="1:1" ht="15.75" customHeight="1" x14ac:dyDescent="0.25">
      <c r="A712" s="7"/>
    </row>
    <row r="713" spans="1:1" ht="15.75" customHeight="1" x14ac:dyDescent="0.25">
      <c r="A713" s="7"/>
    </row>
    <row r="714" spans="1:1" ht="15.75" customHeight="1" x14ac:dyDescent="0.25">
      <c r="A714" s="7"/>
    </row>
    <row r="715" spans="1:1" ht="15.75" customHeight="1" x14ac:dyDescent="0.25">
      <c r="A715" s="7"/>
    </row>
    <row r="716" spans="1:1" ht="15.75" customHeight="1" x14ac:dyDescent="0.25">
      <c r="A716" s="7"/>
    </row>
    <row r="717" spans="1:1" ht="15.75" customHeight="1" x14ac:dyDescent="0.25">
      <c r="A717" s="7"/>
    </row>
    <row r="718" spans="1:1" ht="15.75" customHeight="1" x14ac:dyDescent="0.25">
      <c r="A718" s="7"/>
    </row>
    <row r="719" spans="1:1" ht="15.75" customHeight="1" x14ac:dyDescent="0.25">
      <c r="A719" s="7"/>
    </row>
    <row r="720" spans="1:1" ht="15.75" customHeight="1" x14ac:dyDescent="0.25">
      <c r="A720" s="7"/>
    </row>
    <row r="721" spans="1:1" ht="15.75" customHeight="1" x14ac:dyDescent="0.25">
      <c r="A721" s="7"/>
    </row>
    <row r="722" spans="1:1" ht="15.75" customHeight="1" x14ac:dyDescent="0.25">
      <c r="A722" s="7"/>
    </row>
    <row r="723" spans="1:1" ht="15.75" customHeight="1" x14ac:dyDescent="0.25">
      <c r="A723" s="7"/>
    </row>
    <row r="724" spans="1:1" ht="15.75" customHeight="1" x14ac:dyDescent="0.25">
      <c r="A724" s="7"/>
    </row>
    <row r="725" spans="1:1" ht="15.75" customHeight="1" x14ac:dyDescent="0.25">
      <c r="A725" s="7"/>
    </row>
    <row r="726" spans="1:1" ht="15.75" customHeight="1" x14ac:dyDescent="0.25">
      <c r="A726" s="7"/>
    </row>
    <row r="727" spans="1:1" ht="15.75" customHeight="1" x14ac:dyDescent="0.25">
      <c r="A727" s="7"/>
    </row>
    <row r="728" spans="1:1" ht="15.75" customHeight="1" x14ac:dyDescent="0.25">
      <c r="A728" s="7"/>
    </row>
    <row r="729" spans="1:1" ht="15.75" customHeight="1" x14ac:dyDescent="0.25">
      <c r="A729" s="7"/>
    </row>
    <row r="730" spans="1:1" ht="15.75" customHeight="1" x14ac:dyDescent="0.25">
      <c r="A730" s="7"/>
    </row>
    <row r="731" spans="1:1" ht="15.75" customHeight="1" x14ac:dyDescent="0.25">
      <c r="A731" s="7"/>
    </row>
    <row r="732" spans="1:1" ht="15.75" customHeight="1" x14ac:dyDescent="0.25">
      <c r="A732" s="7"/>
    </row>
    <row r="733" spans="1:1" ht="15.75" customHeight="1" x14ac:dyDescent="0.25">
      <c r="A733" s="7"/>
    </row>
    <row r="734" spans="1:1" ht="15.75" customHeight="1" x14ac:dyDescent="0.25">
      <c r="A734" s="7"/>
    </row>
    <row r="735" spans="1:1" ht="15.75" customHeight="1" x14ac:dyDescent="0.25">
      <c r="A735" s="7"/>
    </row>
    <row r="736" spans="1:1" ht="15.75" customHeight="1" x14ac:dyDescent="0.25">
      <c r="A736" s="7"/>
    </row>
    <row r="737" spans="1:1" ht="15.75" customHeight="1" x14ac:dyDescent="0.25">
      <c r="A737" s="7"/>
    </row>
    <row r="738" spans="1:1" ht="15.75" customHeight="1" x14ac:dyDescent="0.25">
      <c r="A738" s="7"/>
    </row>
    <row r="739" spans="1:1" ht="15.75" customHeight="1" x14ac:dyDescent="0.25">
      <c r="A739" s="7"/>
    </row>
    <row r="740" spans="1:1" ht="15.75" customHeight="1" x14ac:dyDescent="0.25">
      <c r="A740" s="7"/>
    </row>
    <row r="741" spans="1:1" ht="15.75" customHeight="1" x14ac:dyDescent="0.25">
      <c r="A741" s="7"/>
    </row>
    <row r="742" spans="1:1" ht="15.75" customHeight="1" x14ac:dyDescent="0.25">
      <c r="A742" s="7"/>
    </row>
    <row r="743" spans="1:1" ht="15.75" customHeight="1" x14ac:dyDescent="0.25">
      <c r="A743" s="7"/>
    </row>
    <row r="744" spans="1:1" ht="15.75" customHeight="1" x14ac:dyDescent="0.25">
      <c r="A744" s="7"/>
    </row>
    <row r="745" spans="1:1" ht="15.75" customHeight="1" x14ac:dyDescent="0.25">
      <c r="A745" s="7"/>
    </row>
    <row r="746" spans="1:1" ht="15.75" customHeight="1" x14ac:dyDescent="0.25">
      <c r="A746" s="7"/>
    </row>
    <row r="747" spans="1:1" ht="15.75" customHeight="1" x14ac:dyDescent="0.25">
      <c r="A747" s="7"/>
    </row>
    <row r="748" spans="1:1" ht="15.75" customHeight="1" x14ac:dyDescent="0.25">
      <c r="A748" s="7"/>
    </row>
    <row r="749" spans="1:1" ht="15.75" customHeight="1" x14ac:dyDescent="0.25">
      <c r="A749" s="7"/>
    </row>
    <row r="750" spans="1:1" ht="15.75" customHeight="1" x14ac:dyDescent="0.25">
      <c r="A750" s="7"/>
    </row>
    <row r="751" spans="1:1" ht="15.75" customHeight="1" x14ac:dyDescent="0.25">
      <c r="A751" s="7"/>
    </row>
    <row r="752" spans="1:1" ht="15.75" customHeight="1" x14ac:dyDescent="0.25">
      <c r="A752" s="7"/>
    </row>
    <row r="753" spans="1:1" ht="15.75" customHeight="1" x14ac:dyDescent="0.25">
      <c r="A753" s="7"/>
    </row>
    <row r="754" spans="1:1" ht="15.75" customHeight="1" x14ac:dyDescent="0.25">
      <c r="A754" s="7"/>
    </row>
    <row r="755" spans="1:1" ht="15.75" customHeight="1" x14ac:dyDescent="0.25">
      <c r="A755" s="7"/>
    </row>
    <row r="756" spans="1:1" ht="15.75" customHeight="1" x14ac:dyDescent="0.25">
      <c r="A756" s="7"/>
    </row>
    <row r="757" spans="1:1" ht="15.75" customHeight="1" x14ac:dyDescent="0.25">
      <c r="A757" s="7"/>
    </row>
    <row r="758" spans="1:1" ht="15.75" customHeight="1" x14ac:dyDescent="0.25">
      <c r="A758" s="7"/>
    </row>
    <row r="759" spans="1:1" ht="15.75" customHeight="1" x14ac:dyDescent="0.25">
      <c r="A759" s="7"/>
    </row>
    <row r="760" spans="1:1" ht="15.75" customHeight="1" x14ac:dyDescent="0.25">
      <c r="A760" s="7"/>
    </row>
    <row r="761" spans="1:1" ht="15.75" customHeight="1" x14ac:dyDescent="0.25">
      <c r="A761" s="7"/>
    </row>
    <row r="762" spans="1:1" ht="15.75" customHeight="1" x14ac:dyDescent="0.25">
      <c r="A762" s="7"/>
    </row>
    <row r="763" spans="1:1" ht="15.75" customHeight="1" x14ac:dyDescent="0.25">
      <c r="A763" s="7"/>
    </row>
    <row r="764" spans="1:1" ht="15.75" customHeight="1" x14ac:dyDescent="0.25">
      <c r="A764" s="7"/>
    </row>
    <row r="765" spans="1:1" ht="15.75" customHeight="1" x14ac:dyDescent="0.25">
      <c r="A765" s="7"/>
    </row>
    <row r="766" spans="1:1" ht="15.75" customHeight="1" x14ac:dyDescent="0.25">
      <c r="A766" s="7"/>
    </row>
    <row r="767" spans="1:1" ht="15.75" customHeight="1" x14ac:dyDescent="0.25">
      <c r="A767" s="7"/>
    </row>
    <row r="768" spans="1:1" ht="15.75" customHeight="1" x14ac:dyDescent="0.25">
      <c r="A768" s="7"/>
    </row>
    <row r="769" spans="1:1" ht="15.75" customHeight="1" x14ac:dyDescent="0.25">
      <c r="A769" s="7"/>
    </row>
    <row r="770" spans="1:1" ht="15.75" customHeight="1" x14ac:dyDescent="0.25">
      <c r="A770" s="7"/>
    </row>
    <row r="771" spans="1:1" ht="15.75" customHeight="1" x14ac:dyDescent="0.25">
      <c r="A771" s="7"/>
    </row>
    <row r="772" spans="1:1" ht="15.75" customHeight="1" x14ac:dyDescent="0.25">
      <c r="A772" s="7"/>
    </row>
    <row r="773" spans="1:1" ht="15.75" customHeight="1" x14ac:dyDescent="0.25">
      <c r="A773" s="7"/>
    </row>
    <row r="774" spans="1:1" ht="15.75" customHeight="1" x14ac:dyDescent="0.25">
      <c r="A774" s="7"/>
    </row>
    <row r="775" spans="1:1" ht="15.75" customHeight="1" x14ac:dyDescent="0.25">
      <c r="A775" s="7"/>
    </row>
    <row r="776" spans="1:1" ht="15.75" customHeight="1" x14ac:dyDescent="0.25">
      <c r="A776" s="7"/>
    </row>
    <row r="777" spans="1:1" ht="15.75" customHeight="1" x14ac:dyDescent="0.25">
      <c r="A777" s="7"/>
    </row>
    <row r="778" spans="1:1" ht="15.75" customHeight="1" x14ac:dyDescent="0.25">
      <c r="A778" s="7"/>
    </row>
    <row r="779" spans="1:1" ht="15.75" customHeight="1" x14ac:dyDescent="0.25">
      <c r="A779" s="7"/>
    </row>
    <row r="780" spans="1:1" ht="15.75" customHeight="1" x14ac:dyDescent="0.25">
      <c r="A780" s="7"/>
    </row>
    <row r="781" spans="1:1" ht="15.75" customHeight="1" x14ac:dyDescent="0.25">
      <c r="A781" s="7"/>
    </row>
    <row r="782" spans="1:1" ht="15.75" customHeight="1" x14ac:dyDescent="0.25">
      <c r="A782" s="7"/>
    </row>
    <row r="783" spans="1:1" ht="15.75" customHeight="1" x14ac:dyDescent="0.25">
      <c r="A783" s="7"/>
    </row>
    <row r="784" spans="1:1" ht="15.75" customHeight="1" x14ac:dyDescent="0.25">
      <c r="A784" s="7"/>
    </row>
    <row r="785" spans="1:1" ht="15.75" customHeight="1" x14ac:dyDescent="0.25">
      <c r="A785" s="7"/>
    </row>
    <row r="786" spans="1:1" ht="15.75" customHeight="1" x14ac:dyDescent="0.25">
      <c r="A786" s="7"/>
    </row>
    <row r="787" spans="1:1" ht="15.75" customHeight="1" x14ac:dyDescent="0.25">
      <c r="A787" s="7"/>
    </row>
    <row r="788" spans="1:1" ht="15.75" customHeight="1" x14ac:dyDescent="0.25">
      <c r="A788" s="7"/>
    </row>
    <row r="789" spans="1:1" ht="15.75" customHeight="1" x14ac:dyDescent="0.25">
      <c r="A789" s="7"/>
    </row>
    <row r="790" spans="1:1" ht="15.75" customHeight="1" x14ac:dyDescent="0.25">
      <c r="A790" s="7"/>
    </row>
    <row r="791" spans="1:1" ht="15.75" customHeight="1" x14ac:dyDescent="0.25">
      <c r="A791" s="7"/>
    </row>
    <row r="792" spans="1:1" ht="15.75" customHeight="1" x14ac:dyDescent="0.25">
      <c r="A792" s="7"/>
    </row>
    <row r="793" spans="1:1" ht="15.75" customHeight="1" x14ac:dyDescent="0.25">
      <c r="A793" s="7"/>
    </row>
    <row r="794" spans="1:1" ht="15.75" customHeight="1" x14ac:dyDescent="0.25">
      <c r="A794" s="7"/>
    </row>
    <row r="795" spans="1:1" ht="15.75" customHeight="1" x14ac:dyDescent="0.25">
      <c r="A795" s="7"/>
    </row>
    <row r="796" spans="1:1" ht="15.75" customHeight="1" x14ac:dyDescent="0.25">
      <c r="A796" s="7"/>
    </row>
    <row r="797" spans="1:1" ht="15.75" customHeight="1" x14ac:dyDescent="0.25">
      <c r="A797" s="7"/>
    </row>
    <row r="798" spans="1:1" ht="15.75" customHeight="1" x14ac:dyDescent="0.25">
      <c r="A798" s="7"/>
    </row>
    <row r="799" spans="1:1" ht="15.75" customHeight="1" x14ac:dyDescent="0.25">
      <c r="A799" s="7"/>
    </row>
    <row r="800" spans="1:1" ht="15.75" customHeight="1" x14ac:dyDescent="0.25">
      <c r="A800" s="7"/>
    </row>
    <row r="801" spans="1:1" ht="15.75" customHeight="1" x14ac:dyDescent="0.25">
      <c r="A801" s="7"/>
    </row>
    <row r="802" spans="1:1" ht="15.75" customHeight="1" x14ac:dyDescent="0.25">
      <c r="A802" s="7"/>
    </row>
    <row r="803" spans="1:1" ht="15.75" customHeight="1" x14ac:dyDescent="0.25">
      <c r="A803" s="7"/>
    </row>
    <row r="804" spans="1:1" ht="15.75" customHeight="1" x14ac:dyDescent="0.25">
      <c r="A804" s="7"/>
    </row>
    <row r="805" spans="1:1" ht="15.75" customHeight="1" x14ac:dyDescent="0.25">
      <c r="A805" s="7"/>
    </row>
    <row r="806" spans="1:1" ht="15.75" customHeight="1" x14ac:dyDescent="0.25">
      <c r="A806" s="7"/>
    </row>
    <row r="807" spans="1:1" ht="15.75" customHeight="1" x14ac:dyDescent="0.25">
      <c r="A807" s="7"/>
    </row>
    <row r="808" spans="1:1" ht="15.75" customHeight="1" x14ac:dyDescent="0.25">
      <c r="A808" s="7"/>
    </row>
    <row r="809" spans="1:1" ht="15.75" customHeight="1" x14ac:dyDescent="0.25">
      <c r="A809" s="7"/>
    </row>
    <row r="810" spans="1:1" ht="15.75" customHeight="1" x14ac:dyDescent="0.25">
      <c r="A810" s="7"/>
    </row>
    <row r="811" spans="1:1" ht="15.75" customHeight="1" x14ac:dyDescent="0.25">
      <c r="A811" s="7"/>
    </row>
    <row r="812" spans="1:1" ht="15.75" customHeight="1" x14ac:dyDescent="0.25">
      <c r="A812" s="7"/>
    </row>
    <row r="813" spans="1:1" ht="15.75" customHeight="1" x14ac:dyDescent="0.25">
      <c r="A813" s="7"/>
    </row>
    <row r="814" spans="1:1" ht="15.75" customHeight="1" x14ac:dyDescent="0.25">
      <c r="A814" s="7"/>
    </row>
    <row r="815" spans="1:1" ht="15.75" customHeight="1" x14ac:dyDescent="0.25">
      <c r="A815" s="7"/>
    </row>
    <row r="816" spans="1:1" ht="15.75" customHeight="1" x14ac:dyDescent="0.25">
      <c r="A816" s="7"/>
    </row>
    <row r="817" spans="1:1" ht="15.75" customHeight="1" x14ac:dyDescent="0.25">
      <c r="A817" s="7"/>
    </row>
    <row r="818" spans="1:1" ht="15.75" customHeight="1" x14ac:dyDescent="0.25">
      <c r="A818" s="7"/>
    </row>
    <row r="819" spans="1:1" ht="15.75" customHeight="1" x14ac:dyDescent="0.25">
      <c r="A819" s="7"/>
    </row>
    <row r="820" spans="1:1" ht="15.75" customHeight="1" x14ac:dyDescent="0.25">
      <c r="A820" s="7"/>
    </row>
    <row r="821" spans="1:1" ht="15.75" customHeight="1" x14ac:dyDescent="0.25">
      <c r="A821" s="7"/>
    </row>
    <row r="822" spans="1:1" ht="15.75" customHeight="1" x14ac:dyDescent="0.25">
      <c r="A822" s="7"/>
    </row>
    <row r="823" spans="1:1" ht="15.75" customHeight="1" x14ac:dyDescent="0.25">
      <c r="A823" s="7"/>
    </row>
    <row r="824" spans="1:1" ht="15.75" customHeight="1" x14ac:dyDescent="0.25">
      <c r="A824" s="7"/>
    </row>
    <row r="825" spans="1:1" ht="15.75" customHeight="1" x14ac:dyDescent="0.25">
      <c r="A825" s="7"/>
    </row>
    <row r="826" spans="1:1" ht="15.75" customHeight="1" x14ac:dyDescent="0.25">
      <c r="A826" s="7"/>
    </row>
    <row r="827" spans="1:1" ht="15.75" customHeight="1" x14ac:dyDescent="0.25">
      <c r="A827" s="7"/>
    </row>
    <row r="828" spans="1:1" ht="15.75" customHeight="1" x14ac:dyDescent="0.25">
      <c r="A828" s="7"/>
    </row>
    <row r="829" spans="1:1" ht="15.75" customHeight="1" x14ac:dyDescent="0.25">
      <c r="A829" s="7"/>
    </row>
    <row r="830" spans="1:1" ht="15.75" customHeight="1" x14ac:dyDescent="0.25">
      <c r="A830" s="7"/>
    </row>
    <row r="831" spans="1:1" ht="15.75" customHeight="1" x14ac:dyDescent="0.25">
      <c r="A831" s="7"/>
    </row>
    <row r="832" spans="1:1" ht="15.75" customHeight="1" x14ac:dyDescent="0.25">
      <c r="A832" s="7"/>
    </row>
    <row r="833" spans="1:1" ht="15.75" customHeight="1" x14ac:dyDescent="0.25">
      <c r="A833" s="7"/>
    </row>
    <row r="834" spans="1:1" ht="15.75" customHeight="1" x14ac:dyDescent="0.25">
      <c r="A834" s="7"/>
    </row>
    <row r="835" spans="1:1" ht="15.75" customHeight="1" x14ac:dyDescent="0.25">
      <c r="A835" s="7"/>
    </row>
    <row r="836" spans="1:1" ht="15.75" customHeight="1" x14ac:dyDescent="0.25">
      <c r="A836" s="7"/>
    </row>
    <row r="837" spans="1:1" ht="15.75" customHeight="1" x14ac:dyDescent="0.25">
      <c r="A837" s="7"/>
    </row>
    <row r="838" spans="1:1" ht="15.75" customHeight="1" x14ac:dyDescent="0.25">
      <c r="A838" s="7"/>
    </row>
    <row r="839" spans="1:1" ht="15.75" customHeight="1" x14ac:dyDescent="0.25">
      <c r="A839" s="7"/>
    </row>
    <row r="840" spans="1:1" ht="15.75" customHeight="1" x14ac:dyDescent="0.25">
      <c r="A840" s="7"/>
    </row>
    <row r="841" spans="1:1" ht="15.75" customHeight="1" x14ac:dyDescent="0.25">
      <c r="A841" s="7"/>
    </row>
    <row r="842" spans="1:1" ht="15.75" customHeight="1" x14ac:dyDescent="0.25">
      <c r="A842" s="7"/>
    </row>
    <row r="843" spans="1:1" ht="15.75" customHeight="1" x14ac:dyDescent="0.25">
      <c r="A843" s="7"/>
    </row>
    <row r="844" spans="1:1" ht="15.75" customHeight="1" x14ac:dyDescent="0.25">
      <c r="A844" s="7"/>
    </row>
    <row r="845" spans="1:1" ht="15.75" customHeight="1" x14ac:dyDescent="0.25">
      <c r="A845" s="7"/>
    </row>
    <row r="846" spans="1:1" ht="15.75" customHeight="1" x14ac:dyDescent="0.25">
      <c r="A846" s="7"/>
    </row>
    <row r="847" spans="1:1" ht="15.75" customHeight="1" x14ac:dyDescent="0.25">
      <c r="A847" s="7"/>
    </row>
    <row r="848" spans="1:1" ht="15.75" customHeight="1" x14ac:dyDescent="0.25">
      <c r="A848" s="7"/>
    </row>
    <row r="849" spans="1:1" ht="15.75" customHeight="1" x14ac:dyDescent="0.25">
      <c r="A849" s="7"/>
    </row>
    <row r="850" spans="1:1" ht="15.75" customHeight="1" x14ac:dyDescent="0.25">
      <c r="A850" s="7"/>
    </row>
    <row r="851" spans="1:1" ht="15.75" customHeight="1" x14ac:dyDescent="0.25">
      <c r="A851" s="7"/>
    </row>
    <row r="852" spans="1:1" ht="15.75" customHeight="1" x14ac:dyDescent="0.25">
      <c r="A852" s="7"/>
    </row>
    <row r="853" spans="1:1" ht="15.75" customHeight="1" x14ac:dyDescent="0.25">
      <c r="A853" s="7"/>
    </row>
    <row r="854" spans="1:1" ht="15.75" customHeight="1" x14ac:dyDescent="0.25">
      <c r="A854" s="7"/>
    </row>
    <row r="855" spans="1:1" ht="15.75" customHeight="1" x14ac:dyDescent="0.25">
      <c r="A855" s="7"/>
    </row>
    <row r="856" spans="1:1" ht="15.75" customHeight="1" x14ac:dyDescent="0.25">
      <c r="A856" s="7"/>
    </row>
    <row r="857" spans="1:1" ht="15.75" customHeight="1" x14ac:dyDescent="0.25">
      <c r="A857" s="7"/>
    </row>
    <row r="858" spans="1:1" ht="15.75" customHeight="1" x14ac:dyDescent="0.25">
      <c r="A858" s="7"/>
    </row>
    <row r="859" spans="1:1" ht="15.75" customHeight="1" x14ac:dyDescent="0.25">
      <c r="A859" s="7"/>
    </row>
    <row r="860" spans="1:1" ht="15.75" customHeight="1" x14ac:dyDescent="0.25">
      <c r="A860" s="7"/>
    </row>
    <row r="861" spans="1:1" ht="15.75" customHeight="1" x14ac:dyDescent="0.25">
      <c r="A861" s="7"/>
    </row>
    <row r="862" spans="1:1" ht="15.75" customHeight="1" x14ac:dyDescent="0.25">
      <c r="A862" s="7"/>
    </row>
    <row r="863" spans="1:1" ht="15.75" customHeight="1" x14ac:dyDescent="0.25">
      <c r="A863" s="7"/>
    </row>
    <row r="864" spans="1:1" ht="15.75" customHeight="1" x14ac:dyDescent="0.25">
      <c r="A864" s="7"/>
    </row>
    <row r="865" spans="1:1" ht="15.75" customHeight="1" x14ac:dyDescent="0.25">
      <c r="A865" s="7"/>
    </row>
    <row r="866" spans="1:1" ht="15.75" customHeight="1" x14ac:dyDescent="0.25">
      <c r="A866" s="7"/>
    </row>
    <row r="867" spans="1:1" ht="15.75" customHeight="1" x14ac:dyDescent="0.25">
      <c r="A867" s="7"/>
    </row>
    <row r="868" spans="1:1" ht="15.75" customHeight="1" x14ac:dyDescent="0.25">
      <c r="A868" s="7"/>
    </row>
    <row r="869" spans="1:1" ht="15.75" customHeight="1" x14ac:dyDescent="0.25">
      <c r="A869" s="7"/>
    </row>
    <row r="870" spans="1:1" ht="15.75" customHeight="1" x14ac:dyDescent="0.25">
      <c r="A870" s="7"/>
    </row>
    <row r="871" spans="1:1" ht="15.75" customHeight="1" x14ac:dyDescent="0.25">
      <c r="A871" s="7"/>
    </row>
    <row r="872" spans="1:1" ht="15.75" customHeight="1" x14ac:dyDescent="0.25">
      <c r="A872" s="7"/>
    </row>
    <row r="873" spans="1:1" ht="15.75" customHeight="1" x14ac:dyDescent="0.25">
      <c r="A873" s="7"/>
    </row>
    <row r="874" spans="1:1" ht="15.75" customHeight="1" x14ac:dyDescent="0.25">
      <c r="A874" s="7"/>
    </row>
    <row r="875" spans="1:1" ht="15.75" customHeight="1" x14ac:dyDescent="0.25">
      <c r="A875" s="7"/>
    </row>
    <row r="876" spans="1:1" ht="15.75" customHeight="1" x14ac:dyDescent="0.25">
      <c r="A876" s="7"/>
    </row>
    <row r="877" spans="1:1" ht="15.75" customHeight="1" x14ac:dyDescent="0.25">
      <c r="A877" s="7"/>
    </row>
    <row r="878" spans="1:1" ht="15.75" customHeight="1" x14ac:dyDescent="0.25">
      <c r="A878" s="7"/>
    </row>
    <row r="879" spans="1:1" ht="15.75" customHeight="1" x14ac:dyDescent="0.25">
      <c r="A879" s="7"/>
    </row>
    <row r="880" spans="1:1" ht="15.75" customHeight="1" x14ac:dyDescent="0.25">
      <c r="A880" s="7"/>
    </row>
    <row r="881" spans="1:1" ht="15.75" customHeight="1" x14ac:dyDescent="0.25">
      <c r="A881" s="7"/>
    </row>
    <row r="882" spans="1:1" ht="15.75" customHeight="1" x14ac:dyDescent="0.25">
      <c r="A882" s="7"/>
    </row>
    <row r="883" spans="1:1" ht="15.75" customHeight="1" x14ac:dyDescent="0.25">
      <c r="A883" s="7"/>
    </row>
    <row r="884" spans="1:1" ht="15.75" customHeight="1" x14ac:dyDescent="0.25">
      <c r="A884" s="7"/>
    </row>
    <row r="885" spans="1:1" ht="15.75" customHeight="1" x14ac:dyDescent="0.25">
      <c r="A885" s="7"/>
    </row>
    <row r="886" spans="1:1" ht="15.75" customHeight="1" x14ac:dyDescent="0.25">
      <c r="A886" s="7"/>
    </row>
    <row r="887" spans="1:1" ht="15.75" customHeight="1" x14ac:dyDescent="0.25">
      <c r="A887" s="7"/>
    </row>
    <row r="888" spans="1:1" ht="15.75" customHeight="1" x14ac:dyDescent="0.25">
      <c r="A888" s="7"/>
    </row>
    <row r="889" spans="1:1" ht="15.75" customHeight="1" x14ac:dyDescent="0.25">
      <c r="A889" s="7"/>
    </row>
    <row r="890" spans="1:1" ht="15.75" customHeight="1" x14ac:dyDescent="0.25">
      <c r="A890" s="7"/>
    </row>
    <row r="891" spans="1:1" ht="15.75" customHeight="1" x14ac:dyDescent="0.25">
      <c r="A891" s="7"/>
    </row>
    <row r="892" spans="1:1" ht="15.75" customHeight="1" x14ac:dyDescent="0.25">
      <c r="A892" s="7"/>
    </row>
    <row r="893" spans="1:1" ht="15.75" customHeight="1" x14ac:dyDescent="0.25">
      <c r="A893" s="7"/>
    </row>
    <row r="894" spans="1:1" ht="15.75" customHeight="1" x14ac:dyDescent="0.25">
      <c r="A894" s="7"/>
    </row>
    <row r="895" spans="1:1" ht="15.75" customHeight="1" x14ac:dyDescent="0.25">
      <c r="A895" s="7"/>
    </row>
    <row r="896" spans="1:1" ht="15.75" customHeight="1" x14ac:dyDescent="0.25">
      <c r="A896" s="7"/>
    </row>
    <row r="897" spans="1:1" ht="15.75" customHeight="1" x14ac:dyDescent="0.25">
      <c r="A897" s="7"/>
    </row>
    <row r="898" spans="1:1" ht="15.75" customHeight="1" x14ac:dyDescent="0.25">
      <c r="A898" s="7"/>
    </row>
    <row r="899" spans="1:1" ht="15.75" customHeight="1" x14ac:dyDescent="0.25">
      <c r="A899" s="7"/>
    </row>
    <row r="900" spans="1:1" ht="15.75" customHeight="1" x14ac:dyDescent="0.25">
      <c r="A900" s="7"/>
    </row>
    <row r="901" spans="1:1" ht="15.75" customHeight="1" x14ac:dyDescent="0.25">
      <c r="A901" s="7"/>
    </row>
    <row r="902" spans="1:1" ht="15.75" customHeight="1" x14ac:dyDescent="0.25">
      <c r="A902" s="7"/>
    </row>
    <row r="903" spans="1:1" ht="15.75" customHeight="1" x14ac:dyDescent="0.25">
      <c r="A903" s="7"/>
    </row>
    <row r="904" spans="1:1" ht="15.75" customHeight="1" x14ac:dyDescent="0.25">
      <c r="A904" s="7"/>
    </row>
    <row r="905" spans="1:1" ht="15.75" customHeight="1" x14ac:dyDescent="0.25">
      <c r="A905" s="7"/>
    </row>
    <row r="906" spans="1:1" ht="15.75" customHeight="1" x14ac:dyDescent="0.25">
      <c r="A906" s="7"/>
    </row>
    <row r="907" spans="1:1" ht="15.75" customHeight="1" x14ac:dyDescent="0.25">
      <c r="A907" s="7"/>
    </row>
    <row r="908" spans="1:1" ht="15.75" customHeight="1" x14ac:dyDescent="0.25">
      <c r="A908" s="7"/>
    </row>
    <row r="909" spans="1:1" ht="15.75" customHeight="1" x14ac:dyDescent="0.25">
      <c r="A909" s="7"/>
    </row>
    <row r="910" spans="1:1" ht="15.75" customHeight="1" x14ac:dyDescent="0.25">
      <c r="A910" s="7"/>
    </row>
    <row r="911" spans="1:1" ht="15.75" customHeight="1" x14ac:dyDescent="0.25">
      <c r="A911" s="7"/>
    </row>
    <row r="912" spans="1:1" ht="15.75" customHeight="1" x14ac:dyDescent="0.25">
      <c r="A912" s="7"/>
    </row>
    <row r="913" spans="1:1" ht="15.75" customHeight="1" x14ac:dyDescent="0.25">
      <c r="A913" s="7"/>
    </row>
    <row r="914" spans="1:1" ht="15.75" customHeight="1" x14ac:dyDescent="0.25">
      <c r="A914" s="7"/>
    </row>
    <row r="915" spans="1:1" ht="15.75" customHeight="1" x14ac:dyDescent="0.25">
      <c r="A915" s="7"/>
    </row>
    <row r="916" spans="1:1" ht="15.75" customHeight="1" x14ac:dyDescent="0.25">
      <c r="A916" s="7"/>
    </row>
    <row r="917" spans="1:1" ht="15.75" customHeight="1" x14ac:dyDescent="0.25">
      <c r="A917" s="7"/>
    </row>
    <row r="918" spans="1:1" ht="15.75" customHeight="1" x14ac:dyDescent="0.25">
      <c r="A918" s="7"/>
    </row>
    <row r="919" spans="1:1" ht="15.75" customHeight="1" x14ac:dyDescent="0.25">
      <c r="A919" s="7"/>
    </row>
    <row r="920" spans="1:1" ht="15.75" customHeight="1" x14ac:dyDescent="0.25">
      <c r="A920" s="7"/>
    </row>
    <row r="921" spans="1:1" ht="15.75" customHeight="1" x14ac:dyDescent="0.25">
      <c r="A921" s="7"/>
    </row>
    <row r="922" spans="1:1" ht="15.75" customHeight="1" x14ac:dyDescent="0.25">
      <c r="A922" s="7"/>
    </row>
    <row r="923" spans="1:1" ht="15.75" customHeight="1" x14ac:dyDescent="0.25">
      <c r="A923" s="7"/>
    </row>
    <row r="924" spans="1:1" ht="15.75" customHeight="1" x14ac:dyDescent="0.25">
      <c r="A924" s="7"/>
    </row>
    <row r="925" spans="1:1" ht="15.75" customHeight="1" x14ac:dyDescent="0.25">
      <c r="A925" s="7"/>
    </row>
    <row r="926" spans="1:1" ht="15.75" customHeight="1" x14ac:dyDescent="0.25">
      <c r="A926" s="7"/>
    </row>
    <row r="927" spans="1:1" ht="15.75" customHeight="1" x14ac:dyDescent="0.25">
      <c r="A927" s="7"/>
    </row>
    <row r="928" spans="1:1" ht="15.75" customHeight="1" x14ac:dyDescent="0.25">
      <c r="A928" s="7"/>
    </row>
    <row r="929" spans="1:1" ht="15.75" customHeight="1" x14ac:dyDescent="0.25">
      <c r="A929" s="7"/>
    </row>
    <row r="930" spans="1:1" ht="15.75" customHeight="1" x14ac:dyDescent="0.25">
      <c r="A930" s="7"/>
    </row>
    <row r="931" spans="1:1" ht="15.75" customHeight="1" x14ac:dyDescent="0.25">
      <c r="A931" s="7"/>
    </row>
    <row r="932" spans="1:1" ht="15.75" customHeight="1" x14ac:dyDescent="0.25">
      <c r="A932" s="7"/>
    </row>
    <row r="933" spans="1:1" ht="15.75" customHeight="1" x14ac:dyDescent="0.25">
      <c r="A933" s="7"/>
    </row>
    <row r="934" spans="1:1" ht="15.75" customHeight="1" x14ac:dyDescent="0.25">
      <c r="A934" s="7"/>
    </row>
    <row r="935" spans="1:1" ht="15.75" customHeight="1" x14ac:dyDescent="0.25">
      <c r="A935" s="7"/>
    </row>
    <row r="936" spans="1:1" ht="15.75" customHeight="1" x14ac:dyDescent="0.25">
      <c r="A936" s="7"/>
    </row>
    <row r="937" spans="1:1" ht="15.75" customHeight="1" x14ac:dyDescent="0.25">
      <c r="A937" s="7"/>
    </row>
    <row r="938" spans="1:1" ht="15.75" customHeight="1" x14ac:dyDescent="0.25">
      <c r="A938" s="7"/>
    </row>
    <row r="939" spans="1:1" ht="15.75" customHeight="1" x14ac:dyDescent="0.25">
      <c r="A939" s="7"/>
    </row>
    <row r="940" spans="1:1" ht="15.75" customHeight="1" x14ac:dyDescent="0.25">
      <c r="A940" s="7"/>
    </row>
    <row r="941" spans="1:1" ht="15.75" customHeight="1" x14ac:dyDescent="0.25">
      <c r="A941" s="7"/>
    </row>
    <row r="942" spans="1:1" ht="15.75" customHeight="1" x14ac:dyDescent="0.25">
      <c r="A942" s="7"/>
    </row>
    <row r="943" spans="1:1" ht="15.75" customHeight="1" x14ac:dyDescent="0.25">
      <c r="A943" s="7"/>
    </row>
    <row r="944" spans="1:1" ht="15.75" customHeight="1" x14ac:dyDescent="0.25">
      <c r="A944" s="7"/>
    </row>
    <row r="945" spans="1:1" ht="15.75" customHeight="1" x14ac:dyDescent="0.25">
      <c r="A945" s="7"/>
    </row>
    <row r="946" spans="1:1" ht="15.75" customHeight="1" x14ac:dyDescent="0.25">
      <c r="A946" s="7"/>
    </row>
    <row r="947" spans="1:1" ht="15.75" customHeight="1" x14ac:dyDescent="0.25">
      <c r="A947" s="7"/>
    </row>
    <row r="948" spans="1:1" ht="15.75" customHeight="1" x14ac:dyDescent="0.25">
      <c r="A948" s="7"/>
    </row>
    <row r="949" spans="1:1" ht="15.75" customHeight="1" x14ac:dyDescent="0.25">
      <c r="A949" s="7"/>
    </row>
    <row r="950" spans="1:1" ht="15.75" customHeight="1" x14ac:dyDescent="0.25">
      <c r="A950" s="7"/>
    </row>
    <row r="951" spans="1:1" ht="15.75" customHeight="1" x14ac:dyDescent="0.25">
      <c r="A951" s="7"/>
    </row>
    <row r="952" spans="1:1" ht="15.75" customHeight="1" x14ac:dyDescent="0.25">
      <c r="A952" s="7"/>
    </row>
    <row r="953" spans="1:1" ht="15.75" customHeight="1" x14ac:dyDescent="0.25">
      <c r="A953" s="7"/>
    </row>
    <row r="954" spans="1:1" ht="15.75" customHeight="1" x14ac:dyDescent="0.25">
      <c r="A954" s="7"/>
    </row>
    <row r="955" spans="1:1" ht="15.75" customHeight="1" x14ac:dyDescent="0.25">
      <c r="A955" s="7"/>
    </row>
    <row r="956" spans="1:1" ht="15.75" customHeight="1" x14ac:dyDescent="0.25">
      <c r="A956" s="7"/>
    </row>
    <row r="957" spans="1:1" ht="15.75" customHeight="1" x14ac:dyDescent="0.25">
      <c r="A957" s="7"/>
    </row>
    <row r="958" spans="1:1" ht="15.75" customHeight="1" x14ac:dyDescent="0.25">
      <c r="A958" s="7"/>
    </row>
    <row r="959" spans="1:1" ht="15.75" customHeight="1" x14ac:dyDescent="0.25">
      <c r="A959" s="7"/>
    </row>
    <row r="960" spans="1:1" ht="15.75" customHeight="1" x14ac:dyDescent="0.25">
      <c r="A960" s="7"/>
    </row>
    <row r="961" spans="1:1" ht="15.75" customHeight="1" x14ac:dyDescent="0.25">
      <c r="A961" s="7"/>
    </row>
    <row r="962" spans="1:1" ht="15.75" customHeight="1" x14ac:dyDescent="0.25">
      <c r="A962" s="7"/>
    </row>
    <row r="963" spans="1:1" ht="15.75" customHeight="1" x14ac:dyDescent="0.25">
      <c r="A963" s="7"/>
    </row>
    <row r="964" spans="1:1" ht="15.75" customHeight="1" x14ac:dyDescent="0.25">
      <c r="A964" s="7"/>
    </row>
    <row r="965" spans="1:1" ht="15.75" customHeight="1" x14ac:dyDescent="0.25">
      <c r="A965" s="7"/>
    </row>
    <row r="966" spans="1:1" ht="15.75" customHeight="1" x14ac:dyDescent="0.25">
      <c r="A966" s="7"/>
    </row>
    <row r="967" spans="1:1" ht="15.75" customHeight="1" x14ac:dyDescent="0.25">
      <c r="A967" s="7"/>
    </row>
    <row r="968" spans="1:1" ht="15.75" customHeight="1" x14ac:dyDescent="0.25">
      <c r="A968" s="7"/>
    </row>
    <row r="969" spans="1:1" ht="15.75" customHeight="1" x14ac:dyDescent="0.25">
      <c r="A969" s="7"/>
    </row>
    <row r="970" spans="1:1" ht="15.75" customHeight="1" x14ac:dyDescent="0.25">
      <c r="A970" s="7"/>
    </row>
    <row r="971" spans="1:1" ht="15.75" customHeight="1" x14ac:dyDescent="0.25">
      <c r="A971" s="7"/>
    </row>
    <row r="972" spans="1:1" ht="15.75" customHeight="1" x14ac:dyDescent="0.25">
      <c r="A972" s="7"/>
    </row>
    <row r="973" spans="1:1" ht="15.75" customHeight="1" x14ac:dyDescent="0.25">
      <c r="A973" s="7"/>
    </row>
    <row r="974" spans="1:1" ht="15.75" customHeight="1" x14ac:dyDescent="0.25">
      <c r="A974" s="7"/>
    </row>
    <row r="975" spans="1:1" ht="15.75" customHeight="1" x14ac:dyDescent="0.25">
      <c r="A975" s="7"/>
    </row>
    <row r="976" spans="1:1" ht="15.75" customHeight="1" x14ac:dyDescent="0.25">
      <c r="A976" s="7"/>
    </row>
    <row r="977" spans="1:1" ht="15.75" customHeight="1" x14ac:dyDescent="0.25">
      <c r="A977" s="7"/>
    </row>
    <row r="978" spans="1:1" ht="15.75" customHeight="1" x14ac:dyDescent="0.25">
      <c r="A978" s="7"/>
    </row>
    <row r="979" spans="1:1" ht="15.75" customHeight="1" x14ac:dyDescent="0.25">
      <c r="A979" s="7"/>
    </row>
    <row r="980" spans="1:1" ht="15.75" customHeight="1" x14ac:dyDescent="0.25">
      <c r="A980" s="7"/>
    </row>
    <row r="981" spans="1:1" ht="15.75" customHeight="1" x14ac:dyDescent="0.25">
      <c r="A981" s="7"/>
    </row>
    <row r="982" spans="1:1" ht="15.75" customHeight="1" x14ac:dyDescent="0.25">
      <c r="A982" s="7"/>
    </row>
    <row r="983" spans="1:1" ht="15.75" customHeight="1" x14ac:dyDescent="0.25">
      <c r="A983" s="7"/>
    </row>
    <row r="984" spans="1:1" ht="15.75" customHeight="1" x14ac:dyDescent="0.25">
      <c r="A984" s="7"/>
    </row>
    <row r="985" spans="1:1" ht="15.75" customHeight="1" x14ac:dyDescent="0.25">
      <c r="A985" s="7"/>
    </row>
    <row r="986" spans="1:1" ht="15.75" customHeight="1" x14ac:dyDescent="0.25">
      <c r="A986" s="7"/>
    </row>
    <row r="987" spans="1:1" ht="15.75" customHeight="1" x14ac:dyDescent="0.25">
      <c r="A987" s="7"/>
    </row>
    <row r="988" spans="1:1" ht="15.75" customHeight="1" x14ac:dyDescent="0.25">
      <c r="A988" s="7"/>
    </row>
    <row r="989" spans="1:1" ht="15.75" customHeight="1" x14ac:dyDescent="0.25">
      <c r="A989" s="7"/>
    </row>
    <row r="990" spans="1:1" ht="15.75" customHeight="1" x14ac:dyDescent="0.25">
      <c r="A990" s="7"/>
    </row>
    <row r="991" spans="1:1" ht="15.75" customHeight="1" x14ac:dyDescent="0.25">
      <c r="A991" s="7"/>
    </row>
    <row r="992" spans="1:1" ht="15.75" customHeight="1" x14ac:dyDescent="0.25">
      <c r="A992" s="7"/>
    </row>
    <row r="993" spans="1:1" ht="15.75" customHeight="1" x14ac:dyDescent="0.25">
      <c r="A993" s="7"/>
    </row>
    <row r="994" spans="1:1" ht="15.75" customHeight="1" x14ac:dyDescent="0.25">
      <c r="A994" s="7"/>
    </row>
    <row r="995" spans="1:1" ht="15.75" customHeight="1" x14ac:dyDescent="0.25">
      <c r="A995" s="7"/>
    </row>
    <row r="996" spans="1:1" ht="15.75" customHeight="1" x14ac:dyDescent="0.25">
      <c r="A996" s="7"/>
    </row>
    <row r="997" spans="1:1" ht="15.75" customHeight="1" x14ac:dyDescent="0.25">
      <c r="A997" s="7"/>
    </row>
    <row r="998" spans="1:1" ht="15.75" customHeight="1" x14ac:dyDescent="0.25">
      <c r="A998" s="7"/>
    </row>
    <row r="999" spans="1:1" ht="15.75" customHeight="1" x14ac:dyDescent="0.25">
      <c r="A999" s="7"/>
    </row>
    <row r="1000" spans="1:1" ht="15.75" customHeight="1" x14ac:dyDescent="0.25">
      <c r="A1000" s="7"/>
    </row>
  </sheetData>
  <sheetProtection algorithmName="SHA-512" hashValue="DYwdTXmnv7lXeMoRS7H89/KuyhnmJdgBBeHNxRWMCyvHxUHn2KTG3JzZURFjdgmaB3dlkwBYPiu53yKYCgUc9A==" saltValue="+r54xc3g+dEbxFZ1tM4EDQ==" spinCount="100000" sheet="1" objects="1" scenarios="1"/>
  <mergeCells count="6">
    <mergeCell ref="B132:H132"/>
    <mergeCell ref="B1:H1"/>
    <mergeCell ref="B27:H27"/>
    <mergeCell ref="B54:H54"/>
    <mergeCell ref="B72:H72"/>
    <mergeCell ref="B109:H109"/>
  </mergeCells>
  <pageMargins left="0.7" right="0.7" top="0.75" bottom="0.75" header="0" footer="0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00"/>
  <sheetViews>
    <sheetView topLeftCell="A46" zoomScale="70" zoomScaleNormal="70" workbookViewId="0">
      <selection activeCell="K79" sqref="K79"/>
    </sheetView>
  </sheetViews>
  <sheetFormatPr defaultColWidth="14.42578125" defaultRowHeight="15" customHeight="1" x14ac:dyDescent="0.25"/>
  <cols>
    <col min="1" max="1" width="9.140625" style="42" customWidth="1"/>
    <col min="2" max="2" width="45.7109375" style="42" customWidth="1"/>
    <col min="3" max="3" width="8.85546875" style="42" customWidth="1"/>
    <col min="4" max="4" width="8.140625" style="42" customWidth="1"/>
    <col min="5" max="7" width="8.7109375" style="42" customWidth="1"/>
    <col min="8" max="8" width="13.140625" style="42" customWidth="1"/>
    <col min="9" max="10" width="8.7109375" style="42" customWidth="1"/>
    <col min="11" max="11" width="39.28515625" style="42" customWidth="1"/>
    <col min="12" max="26" width="8.7109375" style="42" customWidth="1"/>
    <col min="27" max="16384" width="14.42578125" style="42"/>
  </cols>
  <sheetData>
    <row r="1" spans="1:16" ht="18.75" x14ac:dyDescent="0.3">
      <c r="A1" s="1"/>
      <c r="B1" s="173" t="s">
        <v>2</v>
      </c>
      <c r="C1" s="174"/>
      <c r="D1" s="174"/>
      <c r="E1" s="174"/>
      <c r="F1" s="174"/>
      <c r="G1" s="174"/>
      <c r="H1" s="134"/>
      <c r="I1" s="1"/>
    </row>
    <row r="2" spans="1:16" ht="15.75" thickBot="1" x14ac:dyDescent="0.3">
      <c r="A2" s="1"/>
      <c r="B2" s="8" t="s">
        <v>8</v>
      </c>
      <c r="C2" s="8" t="s">
        <v>11</v>
      </c>
      <c r="D2" s="9" t="e">
        <f>VLOOKUP(B2,'Nutrition Plan'!$D$65:$F$75,3,0)</f>
        <v>#N/A</v>
      </c>
      <c r="E2" s="10" t="e">
        <f>D2/(1/10)</f>
        <v>#N/A</v>
      </c>
      <c r="F2" s="11" t="e">
        <f>D2/(1/0.2)</f>
        <v>#N/A</v>
      </c>
      <c r="G2" s="10" t="e">
        <f>D2/(1/50)</f>
        <v>#N/A</v>
      </c>
      <c r="H2" s="12" t="e">
        <f t="shared" ref="H2:H26" si="0">(E2*4)+(F2*9)+(G2*4)</f>
        <v>#N/A</v>
      </c>
      <c r="I2" s="1"/>
    </row>
    <row r="3" spans="1:16" ht="16.5" thickTop="1" thickBot="1" x14ac:dyDescent="0.3">
      <c r="A3" s="1"/>
      <c r="B3" s="8" t="s">
        <v>21</v>
      </c>
      <c r="C3" s="8" t="s">
        <v>22</v>
      </c>
      <c r="D3" s="9" t="e">
        <f>VLOOKUP(B3,'Nutrition Plan'!$D$65:$F$75,3,0)</f>
        <v>#N/A</v>
      </c>
      <c r="E3" s="10" t="e">
        <f>D3/(1/4)</f>
        <v>#N/A</v>
      </c>
      <c r="F3" s="11" t="e">
        <f>D3/(1/0.5)</f>
        <v>#N/A</v>
      </c>
      <c r="G3" s="10" t="e">
        <f>D3/(1/15)</f>
        <v>#N/A</v>
      </c>
      <c r="H3" s="12" t="e">
        <f t="shared" si="0"/>
        <v>#N/A</v>
      </c>
      <c r="I3" s="1"/>
      <c r="K3" s="7" t="s">
        <v>168</v>
      </c>
      <c r="M3" s="42">
        <v>1.5</v>
      </c>
      <c r="N3" s="42">
        <v>0.3</v>
      </c>
      <c r="O3" s="42">
        <v>5</v>
      </c>
      <c r="P3" s="42">
        <v>1</v>
      </c>
    </row>
    <row r="4" spans="1:16" ht="16.5" thickTop="1" thickBot="1" x14ac:dyDescent="0.3">
      <c r="A4" s="1"/>
      <c r="B4" s="8" t="s">
        <v>25</v>
      </c>
      <c r="C4" s="8" t="s">
        <v>7</v>
      </c>
      <c r="D4" s="9" t="e">
        <f>VLOOKUP(B4,'Nutrition Plan'!$D$65:$F$75,3,0)</f>
        <v>#N/A</v>
      </c>
      <c r="E4" s="10" t="e">
        <f>D4/(28/3)</f>
        <v>#N/A</v>
      </c>
      <c r="F4" s="11" t="e">
        <f>D4/(28/2)</f>
        <v>#N/A</v>
      </c>
      <c r="G4" s="10" t="e">
        <f>D4/(28/20)</f>
        <v>#N/A</v>
      </c>
      <c r="H4" s="12" t="e">
        <f t="shared" si="0"/>
        <v>#N/A</v>
      </c>
      <c r="I4" s="1"/>
      <c r="K4" s="7" t="s">
        <v>26</v>
      </c>
      <c r="M4" s="42">
        <v>1.6</v>
      </c>
      <c r="N4" s="42">
        <v>0.31</v>
      </c>
      <c r="O4" s="42">
        <v>8</v>
      </c>
      <c r="P4" s="42">
        <v>2</v>
      </c>
    </row>
    <row r="5" spans="1:16" ht="16.5" thickTop="1" thickBot="1" x14ac:dyDescent="0.3">
      <c r="A5" s="1"/>
      <c r="B5" s="8" t="s">
        <v>27</v>
      </c>
      <c r="C5" s="8" t="s">
        <v>7</v>
      </c>
      <c r="D5" s="9" t="e">
        <f>VLOOKUP(B5,'Nutrition Plan'!$D$65:$F$75,3,0)</f>
        <v>#N/A</v>
      </c>
      <c r="E5" s="10" t="e">
        <f>D5/(57/8)</f>
        <v>#N/A</v>
      </c>
      <c r="F5" s="11">
        <v>0</v>
      </c>
      <c r="G5" s="10" t="e">
        <f>D5/(57/40)</f>
        <v>#N/A</v>
      </c>
      <c r="H5" s="12" t="e">
        <f t="shared" si="0"/>
        <v>#N/A</v>
      </c>
      <c r="I5" s="1"/>
      <c r="K5" s="7" t="s">
        <v>169</v>
      </c>
      <c r="M5" s="42">
        <v>1.7</v>
      </c>
      <c r="N5" s="42">
        <v>0.32</v>
      </c>
      <c r="O5" s="42">
        <v>10</v>
      </c>
      <c r="P5" s="42">
        <v>3</v>
      </c>
    </row>
    <row r="6" spans="1:16" ht="16.5" thickTop="1" thickBot="1" x14ac:dyDescent="0.3">
      <c r="A6" s="1"/>
      <c r="B6" s="8" t="s">
        <v>28</v>
      </c>
      <c r="C6" s="8" t="s">
        <v>7</v>
      </c>
      <c r="D6" s="9" t="e">
        <f>VLOOKUP(B6,'Nutrition Plan'!$D$65:$F$75,3,0)</f>
        <v>#N/A</v>
      </c>
      <c r="E6" s="10" t="e">
        <f>D6/(14/1)</f>
        <v>#N/A</v>
      </c>
      <c r="F6" s="11">
        <f>0</f>
        <v>0</v>
      </c>
      <c r="G6" s="10" t="e">
        <f>D6/(14/12)</f>
        <v>#N/A</v>
      </c>
      <c r="H6" s="12" t="e">
        <f t="shared" si="0"/>
        <v>#N/A</v>
      </c>
      <c r="I6" s="1"/>
      <c r="K6" s="7" t="s">
        <v>33</v>
      </c>
      <c r="M6" s="42">
        <v>1.8</v>
      </c>
      <c r="N6" s="42">
        <v>0.33</v>
      </c>
      <c r="O6" s="42">
        <v>12</v>
      </c>
      <c r="P6" s="42">
        <v>4</v>
      </c>
    </row>
    <row r="7" spans="1:16" ht="16.5" thickTop="1" thickBot="1" x14ac:dyDescent="0.3">
      <c r="A7" s="1"/>
      <c r="B7" s="8" t="s">
        <v>34</v>
      </c>
      <c r="C7" s="8" t="s">
        <v>7</v>
      </c>
      <c r="D7" s="9" t="e">
        <f>VLOOKUP(B7,'Nutrition Plan'!$D$65:$F$75,3,0)</f>
        <v>#N/A</v>
      </c>
      <c r="E7" s="10" t="e">
        <f>D7/(30/2)</f>
        <v>#N/A</v>
      </c>
      <c r="F7" s="11" t="e">
        <f>D7/(30/1)</f>
        <v>#N/A</v>
      </c>
      <c r="G7" s="10" t="e">
        <f>D7/(30/11)</f>
        <v>#N/A</v>
      </c>
      <c r="H7" s="12" t="e">
        <f t="shared" si="0"/>
        <v>#N/A</v>
      </c>
      <c r="I7" s="1"/>
      <c r="K7" s="7" t="s">
        <v>36</v>
      </c>
      <c r="M7" s="42">
        <v>1.9</v>
      </c>
      <c r="N7" s="42">
        <v>0.34</v>
      </c>
      <c r="O7" s="42">
        <v>15</v>
      </c>
      <c r="P7" s="42">
        <v>5</v>
      </c>
    </row>
    <row r="8" spans="1:16" ht="16.5" thickTop="1" thickBot="1" x14ac:dyDescent="0.3">
      <c r="A8" s="1"/>
      <c r="B8" s="8" t="s">
        <v>170</v>
      </c>
      <c r="C8" s="8" t="s">
        <v>7</v>
      </c>
      <c r="D8" s="9" t="e">
        <f>VLOOKUP(B8,'Nutrition Plan'!$D$65:$F$75,3,0)</f>
        <v>#N/A</v>
      </c>
      <c r="E8" s="10" t="e">
        <f>D8/(100/2)</f>
        <v>#N/A</v>
      </c>
      <c r="F8" s="11">
        <f>0</f>
        <v>0</v>
      </c>
      <c r="G8" s="10" t="e">
        <f>D8/(100/82.4)</f>
        <v>#N/A</v>
      </c>
      <c r="H8" s="12" t="e">
        <f t="shared" si="0"/>
        <v>#N/A</v>
      </c>
      <c r="I8" s="1"/>
      <c r="K8" s="7" t="s">
        <v>37</v>
      </c>
      <c r="M8" s="42">
        <v>2</v>
      </c>
      <c r="N8" s="42">
        <v>0.35</v>
      </c>
      <c r="P8" s="42">
        <v>6</v>
      </c>
    </row>
    <row r="9" spans="1:16" ht="16.5" thickTop="1" thickBot="1" x14ac:dyDescent="0.3">
      <c r="A9" s="1"/>
      <c r="B9" s="8" t="s">
        <v>171</v>
      </c>
      <c r="C9" s="8" t="s">
        <v>7</v>
      </c>
      <c r="D9" s="9" t="e">
        <f>VLOOKUP(B9,'Nutrition Plan'!$D$65:$F$75,3,0)</f>
        <v>#N/A</v>
      </c>
      <c r="E9" s="10">
        <v>0</v>
      </c>
      <c r="F9" s="11">
        <v>0</v>
      </c>
      <c r="G9" s="10" t="e">
        <f>D9/(28/4)</f>
        <v>#N/A</v>
      </c>
      <c r="H9" s="12" t="e">
        <f t="shared" si="0"/>
        <v>#N/A</v>
      </c>
      <c r="I9" s="1"/>
      <c r="M9" s="42">
        <v>2.1</v>
      </c>
      <c r="N9" s="42">
        <v>0.36</v>
      </c>
      <c r="P9" s="42">
        <v>7</v>
      </c>
    </row>
    <row r="10" spans="1:16" ht="16.5" thickTop="1" thickBot="1" x14ac:dyDescent="0.3">
      <c r="A10" s="1"/>
      <c r="B10" s="8" t="s">
        <v>172</v>
      </c>
      <c r="C10" s="8" t="s">
        <v>7</v>
      </c>
      <c r="D10" s="9" t="e">
        <f>VLOOKUP(B10,'Nutrition Plan'!$D$65:$F$75,3,0)</f>
        <v>#N/A</v>
      </c>
      <c r="E10" s="10" t="e">
        <f>D10/(45/7)</f>
        <v>#N/A</v>
      </c>
      <c r="F10" s="11" t="e">
        <f>D10/(45/3)</f>
        <v>#N/A</v>
      </c>
      <c r="G10" s="10" t="e">
        <f>D10/(45/30)</f>
        <v>#N/A</v>
      </c>
      <c r="H10" s="12" t="e">
        <f t="shared" si="0"/>
        <v>#N/A</v>
      </c>
      <c r="I10" s="1"/>
      <c r="M10" s="42">
        <v>2.2000000000000002</v>
      </c>
      <c r="N10" s="42">
        <v>0.37</v>
      </c>
    </row>
    <row r="11" spans="1:16" ht="16.5" thickTop="1" thickBot="1" x14ac:dyDescent="0.3">
      <c r="A11" s="1"/>
      <c r="B11" s="8" t="s">
        <v>38</v>
      </c>
      <c r="C11" s="8" t="s">
        <v>7</v>
      </c>
      <c r="D11" s="9" t="e">
        <f>VLOOKUP(B11,'Nutrition Plan'!$D$65:$F$75,3,0)</f>
        <v>#N/A</v>
      </c>
      <c r="E11" s="10" t="e">
        <f t="shared" ref="E11:E12" si="1">D11/(40/5)</f>
        <v>#N/A</v>
      </c>
      <c r="F11" s="11" t="e">
        <f>D11/(40/3)</f>
        <v>#N/A</v>
      </c>
      <c r="G11" s="10" t="e">
        <f t="shared" ref="G11:G12" si="2">D11/(40/27)</f>
        <v>#N/A</v>
      </c>
      <c r="H11" s="12" t="e">
        <f t="shared" si="0"/>
        <v>#N/A</v>
      </c>
      <c r="I11" s="1"/>
      <c r="M11" s="42">
        <v>2.2999999999999998</v>
      </c>
      <c r="N11" s="42">
        <v>0.38</v>
      </c>
    </row>
    <row r="12" spans="1:16" ht="16.5" thickTop="1" thickBot="1" x14ac:dyDescent="0.3">
      <c r="A12" s="1"/>
      <c r="B12" s="8" t="s">
        <v>173</v>
      </c>
      <c r="C12" s="8" t="s">
        <v>7</v>
      </c>
      <c r="D12" s="9" t="e">
        <f>VLOOKUP(B12,'Nutrition Plan'!$D$65:$F$75,3,0)</f>
        <v>#N/A</v>
      </c>
      <c r="E12" s="10" t="e">
        <f t="shared" si="1"/>
        <v>#N/A</v>
      </c>
      <c r="F12" s="11" t="e">
        <f>D12/(40/2.5)</f>
        <v>#N/A</v>
      </c>
      <c r="G12" s="10" t="e">
        <f t="shared" si="2"/>
        <v>#N/A</v>
      </c>
      <c r="H12" s="12" t="e">
        <f t="shared" si="0"/>
        <v>#N/A</v>
      </c>
      <c r="I12" s="1"/>
      <c r="M12" s="42">
        <v>2.4</v>
      </c>
      <c r="N12" s="42">
        <v>0.39</v>
      </c>
    </row>
    <row r="13" spans="1:16" ht="16.5" thickTop="1" thickBot="1" x14ac:dyDescent="0.3">
      <c r="A13" s="1"/>
      <c r="B13" s="8" t="s">
        <v>41</v>
      </c>
      <c r="C13" s="8" t="s">
        <v>7</v>
      </c>
      <c r="D13" s="9" t="e">
        <f>VLOOKUP(B13,'Nutrition Plan'!$D$65:$F$75,3,0)</f>
        <v>#N/A</v>
      </c>
      <c r="E13" s="10" t="e">
        <f>D13/(47/4)</f>
        <v>#N/A</v>
      </c>
      <c r="F13" s="11" t="e">
        <f>D13/(47/0.5)</f>
        <v>#N/A</v>
      </c>
      <c r="G13" s="10" t="e">
        <f>D13/(47/33)</f>
        <v>#N/A</v>
      </c>
      <c r="H13" s="12" t="e">
        <f t="shared" si="0"/>
        <v>#N/A</v>
      </c>
      <c r="I13" s="1"/>
      <c r="M13" s="42">
        <v>2.5</v>
      </c>
      <c r="N13" s="42">
        <v>0.4</v>
      </c>
    </row>
    <row r="14" spans="1:16" ht="16.5" thickTop="1" thickBot="1" x14ac:dyDescent="0.3">
      <c r="A14" s="1"/>
      <c r="B14" s="8" t="s">
        <v>42</v>
      </c>
      <c r="C14" s="8" t="s">
        <v>7</v>
      </c>
      <c r="D14" s="9" t="e">
        <f>VLOOKUP(B14,'Nutrition Plan'!$D$65:$F$75,3,0)</f>
        <v>#N/A</v>
      </c>
      <c r="E14" s="10" t="e">
        <f>D14/(38/4)</f>
        <v>#N/A</v>
      </c>
      <c r="F14" s="11" t="e">
        <f>D14/(38/0.5)</f>
        <v>#N/A</v>
      </c>
      <c r="G14" s="10" t="e">
        <f>D14/(38/26)</f>
        <v>#N/A</v>
      </c>
      <c r="H14" s="12" t="e">
        <f t="shared" si="0"/>
        <v>#N/A</v>
      </c>
      <c r="I14" s="1"/>
      <c r="N14" s="42">
        <v>0.41</v>
      </c>
    </row>
    <row r="15" spans="1:16" ht="16.5" thickTop="1" thickBot="1" x14ac:dyDescent="0.3">
      <c r="A15" s="1"/>
      <c r="B15" s="8" t="s">
        <v>43</v>
      </c>
      <c r="C15" s="8" t="s">
        <v>7</v>
      </c>
      <c r="D15" s="9" t="e">
        <f>VLOOKUP(B15,'Nutrition Plan'!$D$65:$F$75,3,0)</f>
        <v>#N/A</v>
      </c>
      <c r="E15" s="10" t="e">
        <f>D15/(42/1)</f>
        <v>#N/A</v>
      </c>
      <c r="F15" s="11" t="e">
        <f>D15/(42/0.5)</f>
        <v>#N/A</v>
      </c>
      <c r="G15" s="10" t="e">
        <f>D15/(42/32)</f>
        <v>#N/A</v>
      </c>
      <c r="H15" s="12" t="e">
        <f t="shared" si="0"/>
        <v>#N/A</v>
      </c>
      <c r="I15" s="1"/>
      <c r="N15" s="42">
        <v>0.42</v>
      </c>
    </row>
    <row r="16" spans="1:16" ht="16.5" thickTop="1" thickBot="1" x14ac:dyDescent="0.3">
      <c r="A16" s="1"/>
      <c r="B16" s="8" t="s">
        <v>174</v>
      </c>
      <c r="C16" s="8" t="s">
        <v>7</v>
      </c>
      <c r="D16" s="9" t="e">
        <f>VLOOKUP(B16,'Nutrition Plan'!$D$65:$F$75,3,0)</f>
        <v>#N/A</v>
      </c>
      <c r="E16" s="10" t="e">
        <f>D16/(28/1.5)</f>
        <v>#N/A</v>
      </c>
      <c r="F16" s="11" t="e">
        <f>D16/(28/0.15)</f>
        <v>#N/A</v>
      </c>
      <c r="G16" s="10" t="e">
        <f>D16/(28/7.45)</f>
        <v>#N/A</v>
      </c>
      <c r="H16" s="12" t="e">
        <f t="shared" si="0"/>
        <v>#N/A</v>
      </c>
      <c r="I16" s="1"/>
      <c r="N16" s="42">
        <v>0.43</v>
      </c>
    </row>
    <row r="17" spans="1:14" ht="16.5" thickTop="1" thickBot="1" x14ac:dyDescent="0.3">
      <c r="A17" s="1"/>
      <c r="B17" s="8" t="s">
        <v>44</v>
      </c>
      <c r="C17" s="8" t="s">
        <v>45</v>
      </c>
      <c r="D17" s="9" t="e">
        <f>VLOOKUP(B17,'Nutrition Plan'!$D$65:$F$75,3,0)</f>
        <v>#N/A</v>
      </c>
      <c r="E17" s="10" t="e">
        <f>D17/(1/1)</f>
        <v>#N/A</v>
      </c>
      <c r="F17" s="11">
        <f>0</f>
        <v>0</v>
      </c>
      <c r="G17" s="10" t="e">
        <f>D17/(1/8)</f>
        <v>#N/A</v>
      </c>
      <c r="H17" s="12" t="e">
        <f t="shared" si="0"/>
        <v>#N/A</v>
      </c>
      <c r="I17" s="1"/>
      <c r="N17" s="42">
        <v>0.44</v>
      </c>
    </row>
    <row r="18" spans="1:14" ht="16.5" thickTop="1" thickBot="1" x14ac:dyDescent="0.3">
      <c r="A18" s="1"/>
      <c r="B18" s="8" t="s">
        <v>175</v>
      </c>
      <c r="C18" s="8" t="s">
        <v>7</v>
      </c>
      <c r="D18" s="9" t="e">
        <f>VLOOKUP(B18,'Nutrition Plan'!$D$65:$F$75,3,0)</f>
        <v>#N/A</v>
      </c>
      <c r="E18" s="10" t="e">
        <f>D18/(100/2.32)</f>
        <v>#N/A</v>
      </c>
      <c r="F18" s="11" t="e">
        <f>D18/(100/0.83)</f>
        <v>#N/A</v>
      </c>
      <c r="G18" s="10" t="e">
        <f>D18/(100/23.51)</f>
        <v>#N/A</v>
      </c>
      <c r="H18" s="12" t="e">
        <f t="shared" si="0"/>
        <v>#N/A</v>
      </c>
      <c r="I18" s="1"/>
      <c r="N18" s="42">
        <v>0.45</v>
      </c>
    </row>
    <row r="19" spans="1:14" ht="16.5" thickTop="1" thickBot="1" x14ac:dyDescent="0.3">
      <c r="A19" s="1"/>
      <c r="B19" s="8" t="s">
        <v>176</v>
      </c>
      <c r="C19" s="8" t="s">
        <v>7</v>
      </c>
      <c r="D19" s="9" t="e">
        <f>VLOOKUP(B19,'Nutrition Plan'!$D$65:$F$75,3,0)</f>
        <v>#N/A</v>
      </c>
      <c r="E19" s="10" t="e">
        <f>D19/(200/4.2)</f>
        <v>#N/A</v>
      </c>
      <c r="F19" s="11" t="e">
        <f>D19/(200/0.44)</f>
        <v>#N/A</v>
      </c>
      <c r="G19" s="10" t="e">
        <f>D19/(200/45)</f>
        <v>#N/A</v>
      </c>
      <c r="H19" s="12" t="e">
        <f t="shared" si="0"/>
        <v>#N/A</v>
      </c>
      <c r="I19" s="1"/>
      <c r="N19" s="42">
        <v>0.46</v>
      </c>
    </row>
    <row r="20" spans="1:14" ht="16.5" thickTop="1" thickBot="1" x14ac:dyDescent="0.3">
      <c r="A20" s="1"/>
      <c r="B20" s="8" t="s">
        <v>177</v>
      </c>
      <c r="C20" s="8" t="s">
        <v>7</v>
      </c>
      <c r="D20" s="9" t="e">
        <f>VLOOKUP(B20,'Nutrition Plan'!$D$65:$F$75,3,0)</f>
        <v>#N/A</v>
      </c>
      <c r="E20" s="10" t="e">
        <f>D20/(100/2.38)</f>
        <v>#N/A</v>
      </c>
      <c r="F20" s="11" t="e">
        <f>D20/(100/0.21)</f>
        <v>#N/A</v>
      </c>
      <c r="G20" s="10" t="e">
        <f>D20/(100/28.59)</f>
        <v>#N/A</v>
      </c>
      <c r="H20" s="12" t="e">
        <f t="shared" si="0"/>
        <v>#N/A</v>
      </c>
      <c r="I20" s="1"/>
      <c r="N20" s="42">
        <v>0.47</v>
      </c>
    </row>
    <row r="21" spans="1:14" ht="15.75" customHeight="1" thickTop="1" thickBot="1" x14ac:dyDescent="0.3">
      <c r="A21" s="1"/>
      <c r="B21" s="8" t="s">
        <v>178</v>
      </c>
      <c r="C21" s="8" t="s">
        <v>7</v>
      </c>
      <c r="D21" s="9" t="e">
        <f>VLOOKUP(B21,'Nutrition Plan'!$D$65:$F$75,3,0)</f>
        <v>#N/A</v>
      </c>
      <c r="E21" s="10" t="e">
        <f>D21/(100/2)</f>
        <v>#N/A</v>
      </c>
      <c r="F21" s="11">
        <v>0</v>
      </c>
      <c r="G21" s="10" t="e">
        <f>D21/(100/20)</f>
        <v>#N/A</v>
      </c>
      <c r="H21" s="12" t="e">
        <f t="shared" si="0"/>
        <v>#N/A</v>
      </c>
      <c r="I21" s="1"/>
      <c r="N21" s="42">
        <v>0.48</v>
      </c>
    </row>
    <row r="22" spans="1:14" ht="15.75" customHeight="1" thickTop="1" thickBot="1" x14ac:dyDescent="0.3">
      <c r="A22" s="1"/>
      <c r="B22" s="8" t="s">
        <v>48</v>
      </c>
      <c r="C22" s="8" t="s">
        <v>7</v>
      </c>
      <c r="D22" s="9" t="e">
        <f>VLOOKUP(B22,'Nutrition Plan'!$D$65:$F$75,3,0)</f>
        <v>#N/A</v>
      </c>
      <c r="E22" s="10" t="e">
        <f t="shared" ref="E22:E23" si="3">D22/(70/5)</f>
        <v>#N/A</v>
      </c>
      <c r="F22" s="11" t="e">
        <f>D22/(70/8)</f>
        <v>#N/A</v>
      </c>
      <c r="G22" s="10" t="e">
        <f t="shared" ref="G22:G23" si="4">D22/(70/27)</f>
        <v>#N/A</v>
      </c>
      <c r="H22" s="12" t="e">
        <f t="shared" si="0"/>
        <v>#N/A</v>
      </c>
      <c r="I22" s="1"/>
      <c r="N22" s="42">
        <v>0.49</v>
      </c>
    </row>
    <row r="23" spans="1:14" ht="15.75" customHeight="1" thickTop="1" thickBot="1" x14ac:dyDescent="0.3">
      <c r="A23" s="1"/>
      <c r="B23" s="8" t="s">
        <v>51</v>
      </c>
      <c r="C23" s="8" t="s">
        <v>7</v>
      </c>
      <c r="D23" s="9" t="e">
        <f>VLOOKUP(B23,'Nutrition Plan'!$D$65:$F$75,3,0)</f>
        <v>#N/A</v>
      </c>
      <c r="E23" s="10" t="e">
        <f t="shared" si="3"/>
        <v>#N/A</v>
      </c>
      <c r="F23" s="11" t="e">
        <f>D23/(70/2.5)</f>
        <v>#N/A</v>
      </c>
      <c r="G23" s="10" t="e">
        <f t="shared" si="4"/>
        <v>#N/A</v>
      </c>
      <c r="H23" s="12" t="e">
        <f t="shared" si="0"/>
        <v>#N/A</v>
      </c>
      <c r="I23" s="1"/>
      <c r="N23" s="42">
        <v>0.5</v>
      </c>
    </row>
    <row r="24" spans="1:14" ht="15.75" customHeight="1" thickTop="1" thickBot="1" x14ac:dyDescent="0.3">
      <c r="A24" s="1"/>
      <c r="B24" s="8" t="s">
        <v>54</v>
      </c>
      <c r="C24" s="8" t="s">
        <v>55</v>
      </c>
      <c r="D24" s="9" t="e">
        <f>VLOOKUP(B24,'Nutrition Plan'!$D$65:$F$75,3,0)</f>
        <v>#N/A</v>
      </c>
      <c r="E24" s="10" t="e">
        <f>D24/(2/5)</f>
        <v>#N/A</v>
      </c>
      <c r="F24" s="11" t="e">
        <f>D24/(2/5)</f>
        <v>#N/A</v>
      </c>
      <c r="G24" s="10" t="e">
        <f>D24/(2/25)</f>
        <v>#N/A</v>
      </c>
      <c r="H24" s="12" t="e">
        <f t="shared" si="0"/>
        <v>#N/A</v>
      </c>
      <c r="I24" s="1"/>
    </row>
    <row r="25" spans="1:14" ht="15.75" customHeight="1" thickTop="1" thickBot="1" x14ac:dyDescent="0.3">
      <c r="A25" s="1"/>
      <c r="B25" s="8" t="s">
        <v>179</v>
      </c>
      <c r="C25" s="8" t="s">
        <v>7</v>
      </c>
      <c r="D25" s="9" t="e">
        <f>VLOOKUP(B25,'Nutrition Plan'!$D$65:$F$75,3,0)</f>
        <v>#N/A</v>
      </c>
      <c r="E25" s="10" t="e">
        <f>D25/(100/2.4)</f>
        <v>#N/A</v>
      </c>
      <c r="F25" s="11" t="e">
        <f>D25/(100/0.15)</f>
        <v>#N/A</v>
      </c>
      <c r="G25" s="10" t="e">
        <f>D25/(100/24.2)</f>
        <v>#N/A</v>
      </c>
      <c r="H25" s="12" t="e">
        <f t="shared" si="0"/>
        <v>#N/A</v>
      </c>
      <c r="I25" s="1"/>
    </row>
    <row r="26" spans="1:14" ht="15.75" customHeight="1" thickTop="1" thickBot="1" x14ac:dyDescent="0.3">
      <c r="A26" s="1"/>
      <c r="B26" s="8" t="s">
        <v>57</v>
      </c>
      <c r="C26" s="8" t="s">
        <v>58</v>
      </c>
      <c r="D26" s="9" t="e">
        <f>VLOOKUP(B26,'Nutrition Plan'!$D$65:$F$75,3,0)</f>
        <v>#N/A</v>
      </c>
      <c r="E26" s="10" t="e">
        <f>D26/(1/8)</f>
        <v>#N/A</v>
      </c>
      <c r="F26" s="11" t="e">
        <f>D26/(1/3)</f>
        <v>#N/A</v>
      </c>
      <c r="G26" s="10" t="e">
        <f>D26/(1/7)</f>
        <v>#N/A</v>
      </c>
      <c r="H26" s="12" t="e">
        <f t="shared" si="0"/>
        <v>#N/A</v>
      </c>
      <c r="I26" s="1"/>
    </row>
    <row r="27" spans="1:14" ht="15.75" customHeight="1" thickTop="1" x14ac:dyDescent="0.3">
      <c r="A27" s="1"/>
      <c r="B27" s="173" t="s">
        <v>26</v>
      </c>
      <c r="C27" s="174"/>
      <c r="D27" s="174"/>
      <c r="E27" s="174"/>
      <c r="F27" s="174"/>
      <c r="G27" s="174"/>
      <c r="H27" s="134"/>
      <c r="I27" s="1"/>
    </row>
    <row r="28" spans="1:14" ht="15.75" customHeight="1" thickBot="1" x14ac:dyDescent="0.3">
      <c r="A28" s="1"/>
      <c r="B28" s="8" t="s">
        <v>60</v>
      </c>
      <c r="C28" s="8" t="s">
        <v>7</v>
      </c>
      <c r="D28" s="9" t="e">
        <f>VLOOKUP(B28,'Nutrition Plan'!$D$65:$F$75,3,0)</f>
        <v>#N/A</v>
      </c>
      <c r="E28" s="10" t="e">
        <f>D28/(28/2.95)</f>
        <v>#N/A</v>
      </c>
      <c r="F28" s="11" t="e">
        <f>D28/(28/0.64)</f>
        <v>#N/A</v>
      </c>
      <c r="G28" s="10" t="e">
        <f>D28/(28/1.34)</f>
        <v>#N/A</v>
      </c>
      <c r="H28" s="12" t="e">
        <f t="shared" ref="H28:H53" si="5">(E28*4)+(F28*9)+(G28*4)</f>
        <v>#N/A</v>
      </c>
      <c r="I28" s="1"/>
    </row>
    <row r="29" spans="1:14" ht="15.75" customHeight="1" thickTop="1" thickBot="1" x14ac:dyDescent="0.3">
      <c r="A29" s="1"/>
      <c r="B29" s="8" t="s">
        <v>61</v>
      </c>
      <c r="C29" s="8" t="s">
        <v>7</v>
      </c>
      <c r="D29" s="9" t="e">
        <f>VLOOKUP(B29,'Nutrition Plan'!$D$65:$F$75,3,0)</f>
        <v>#N/A</v>
      </c>
      <c r="E29" s="10" t="e">
        <f>D29/(100/18.94)</f>
        <v>#N/A</v>
      </c>
      <c r="F29" s="11" t="e">
        <f>D29/(100/26.05)</f>
        <v>#N/A</v>
      </c>
      <c r="G29" s="10" t="e">
        <f>D29/(100/6.94)</f>
        <v>#N/A</v>
      </c>
      <c r="H29" s="12" t="e">
        <f t="shared" si="5"/>
        <v>#N/A</v>
      </c>
      <c r="I29" s="1"/>
    </row>
    <row r="30" spans="1:14" ht="15.75" customHeight="1" thickTop="1" thickBot="1" x14ac:dyDescent="0.3">
      <c r="A30" s="1"/>
      <c r="B30" s="8" t="s">
        <v>62</v>
      </c>
      <c r="C30" s="8" t="s">
        <v>22</v>
      </c>
      <c r="D30" s="9" t="e">
        <f>VLOOKUP(B30,'Nutrition Plan'!$D$65:$F$75,3,0)</f>
        <v>#N/A</v>
      </c>
      <c r="E30" s="10" t="e">
        <f>D30/(1/4)</f>
        <v>#N/A</v>
      </c>
      <c r="F30" s="11" t="e">
        <f>D30/(1/6)</f>
        <v>#N/A</v>
      </c>
      <c r="G30" s="10">
        <f>0</f>
        <v>0</v>
      </c>
      <c r="H30" s="12" t="e">
        <f t="shared" si="5"/>
        <v>#N/A</v>
      </c>
      <c r="I30" s="1"/>
    </row>
    <row r="31" spans="1:14" ht="15.75" customHeight="1" thickTop="1" thickBot="1" x14ac:dyDescent="0.3">
      <c r="A31" s="1"/>
      <c r="B31" s="8" t="s">
        <v>63</v>
      </c>
      <c r="C31" s="8" t="s">
        <v>7</v>
      </c>
      <c r="D31" s="9" t="e">
        <f>VLOOKUP(B31,'Nutrition Plan'!$D$65:$F$75,3,0)</f>
        <v>#N/A</v>
      </c>
      <c r="E31" s="10" t="e">
        <f>D31/(100/14.21)</f>
        <v>#N/A</v>
      </c>
      <c r="F31" s="11" t="e">
        <f>D31/(100/21.28)</f>
        <v>#N/A</v>
      </c>
      <c r="G31" s="10" t="e">
        <f>D31/(100/4.09)</f>
        <v>#N/A</v>
      </c>
      <c r="H31" s="12" t="e">
        <f t="shared" si="5"/>
        <v>#N/A</v>
      </c>
      <c r="I31" s="1"/>
    </row>
    <row r="32" spans="1:14" ht="15.75" customHeight="1" thickTop="1" thickBot="1" x14ac:dyDescent="0.3">
      <c r="A32" s="1"/>
      <c r="B32" s="8" t="s">
        <v>64</v>
      </c>
      <c r="C32" s="8" t="s">
        <v>7</v>
      </c>
      <c r="D32" s="9" t="e">
        <f>VLOOKUP(B32,'Nutrition Plan'!$D$65:$F$75,3,0)</f>
        <v>#N/A</v>
      </c>
      <c r="E32" s="10" t="e">
        <f>D32/(28/6)</f>
        <v>#N/A</v>
      </c>
      <c r="F32" s="11" t="e">
        <f>D32/(28/4)</f>
        <v>#N/A</v>
      </c>
      <c r="G32" s="10" t="e">
        <f>D32/(28/3)</f>
        <v>#N/A</v>
      </c>
      <c r="H32" s="12" t="e">
        <f t="shared" si="5"/>
        <v>#N/A</v>
      </c>
      <c r="I32" s="1"/>
    </row>
    <row r="33" spans="1:9" ht="15.75" customHeight="1" thickTop="1" thickBot="1" x14ac:dyDescent="0.3">
      <c r="A33" s="1"/>
      <c r="B33" s="8" t="s">
        <v>65</v>
      </c>
      <c r="C33" s="8" t="s">
        <v>22</v>
      </c>
      <c r="D33" s="9" t="e">
        <f>VLOOKUP(B33,'Nutrition Plan'!$D$65:$F$75,3,0)</f>
        <v>#N/A</v>
      </c>
      <c r="E33" s="10" t="e">
        <f t="shared" ref="E33:E34" si="6">D33/(1/3)</f>
        <v>#N/A</v>
      </c>
      <c r="F33" s="11" t="e">
        <f>D33/(1/2.5)</f>
        <v>#N/A</v>
      </c>
      <c r="G33" s="10" t="e">
        <f t="shared" ref="G33:G34" si="7">D33/(1/1)</f>
        <v>#N/A</v>
      </c>
      <c r="H33" s="12" t="e">
        <f t="shared" si="5"/>
        <v>#N/A</v>
      </c>
      <c r="I33" s="1"/>
    </row>
    <row r="34" spans="1:9" ht="15.75" customHeight="1" thickTop="1" thickBot="1" x14ac:dyDescent="0.3">
      <c r="A34" s="1"/>
      <c r="B34" s="8" t="s">
        <v>66</v>
      </c>
      <c r="C34" s="8" t="s">
        <v>22</v>
      </c>
      <c r="D34" s="9" t="e">
        <f>VLOOKUP(B34,'Nutrition Plan'!$D$65:$F$75,3,0)</f>
        <v>#N/A</v>
      </c>
      <c r="E34" s="10" t="e">
        <f t="shared" si="6"/>
        <v>#N/A</v>
      </c>
      <c r="F34" s="11" t="e">
        <f>D34/(1/3)</f>
        <v>#N/A</v>
      </c>
      <c r="G34" s="10" t="e">
        <f t="shared" si="7"/>
        <v>#N/A</v>
      </c>
      <c r="H34" s="12" t="e">
        <f t="shared" si="5"/>
        <v>#N/A</v>
      </c>
      <c r="I34" s="1"/>
    </row>
    <row r="35" spans="1:9" ht="15.75" customHeight="1" thickTop="1" thickBot="1" x14ac:dyDescent="0.3">
      <c r="A35" s="1"/>
      <c r="B35" s="8" t="s">
        <v>67</v>
      </c>
      <c r="C35" s="8" t="s">
        <v>7</v>
      </c>
      <c r="D35" s="9" t="e">
        <f>VLOOKUP(B35,'Nutrition Plan'!$D$65:$F$75,3,0)</f>
        <v>#N/A</v>
      </c>
      <c r="E35" s="10" t="e">
        <f>D35/(28/9)</f>
        <v>#N/A</v>
      </c>
      <c r="F35" s="11">
        <f>0</f>
        <v>0</v>
      </c>
      <c r="G35" s="10" t="e">
        <f>D35/(28/2)</f>
        <v>#N/A</v>
      </c>
      <c r="H35" s="12" t="e">
        <f t="shared" si="5"/>
        <v>#N/A</v>
      </c>
      <c r="I35" s="1"/>
    </row>
    <row r="36" spans="1:9" ht="15.75" customHeight="1" thickTop="1" thickBot="1" x14ac:dyDescent="0.3">
      <c r="A36" s="1"/>
      <c r="B36" s="8" t="s">
        <v>68</v>
      </c>
      <c r="C36" s="8" t="s">
        <v>22</v>
      </c>
      <c r="D36" s="9" t="e">
        <f>VLOOKUP(B36,'Nutrition Plan'!$D$65:$F$75,3,0)</f>
        <v>#N/A</v>
      </c>
      <c r="E36" s="10" t="e">
        <f>D36/(1/5)</f>
        <v>#N/A</v>
      </c>
      <c r="F36" s="11" t="e">
        <f>D36/(1/5)</f>
        <v>#N/A</v>
      </c>
      <c r="G36" s="10">
        <f>0</f>
        <v>0</v>
      </c>
      <c r="H36" s="12" t="e">
        <f t="shared" si="5"/>
        <v>#N/A</v>
      </c>
      <c r="I36" s="1"/>
    </row>
    <row r="37" spans="1:9" ht="15.75" customHeight="1" thickTop="1" thickBot="1" x14ac:dyDescent="0.3">
      <c r="A37" s="1"/>
      <c r="B37" s="8" t="s">
        <v>69</v>
      </c>
      <c r="C37" s="8" t="s">
        <v>7</v>
      </c>
      <c r="D37" s="9" t="e">
        <f>VLOOKUP(B37,'Nutrition Plan'!$D$65:$F$75,3,0)</f>
        <v>#N/A</v>
      </c>
      <c r="E37" s="10" t="e">
        <f t="shared" ref="E37:E38" si="8">D37/(28/8)</f>
        <v>#N/A</v>
      </c>
      <c r="F37" s="11" t="e">
        <f>D37/(28/4.5)</f>
        <v>#N/A</v>
      </c>
      <c r="G37" s="10" t="e">
        <f t="shared" ref="G37:G38" si="9">D37/(28/1)</f>
        <v>#N/A</v>
      </c>
      <c r="H37" s="12" t="e">
        <f t="shared" si="5"/>
        <v>#N/A</v>
      </c>
      <c r="I37" s="1"/>
    </row>
    <row r="38" spans="1:9" ht="15.75" customHeight="1" thickTop="1" thickBot="1" x14ac:dyDescent="0.3">
      <c r="A38" s="1"/>
      <c r="B38" s="8" t="s">
        <v>71</v>
      </c>
      <c r="C38" s="8" t="s">
        <v>7</v>
      </c>
      <c r="D38" s="9" t="e">
        <f>VLOOKUP(B38,'Nutrition Plan'!$D$65:$F$75,3,0)</f>
        <v>#N/A</v>
      </c>
      <c r="E38" s="10" t="e">
        <f t="shared" si="8"/>
        <v>#N/A</v>
      </c>
      <c r="F38" s="11" t="e">
        <f>D38/(28/6)</f>
        <v>#N/A</v>
      </c>
      <c r="G38" s="10" t="e">
        <f t="shared" si="9"/>
        <v>#N/A</v>
      </c>
      <c r="H38" s="12" t="e">
        <f t="shared" si="5"/>
        <v>#N/A</v>
      </c>
      <c r="I38" s="1"/>
    </row>
    <row r="39" spans="1:9" ht="15.75" customHeight="1" thickTop="1" thickBot="1" x14ac:dyDescent="0.3">
      <c r="A39" s="1"/>
      <c r="B39" s="8" t="s">
        <v>72</v>
      </c>
      <c r="C39" s="8" t="s">
        <v>7</v>
      </c>
      <c r="D39" s="9" t="e">
        <f>VLOOKUP(B39,'Nutrition Plan'!$D$65:$F$75,3,0)</f>
        <v>#N/A</v>
      </c>
      <c r="E39" s="10" t="e">
        <f>D39/(100/11.39)</f>
        <v>#N/A</v>
      </c>
      <c r="F39" s="11" t="e">
        <f>D39/(100/7.91)</f>
        <v>#N/A</v>
      </c>
      <c r="G39" s="10" t="e">
        <f>D39/(100/5.4)</f>
        <v>#N/A</v>
      </c>
      <c r="H39" s="12" t="e">
        <f t="shared" si="5"/>
        <v>#N/A</v>
      </c>
      <c r="I39" s="1"/>
    </row>
    <row r="40" spans="1:9" ht="15.75" customHeight="1" thickTop="1" thickBot="1" x14ac:dyDescent="0.3">
      <c r="A40" s="1"/>
      <c r="B40" s="8" t="s">
        <v>73</v>
      </c>
      <c r="C40" s="8" t="s">
        <v>7</v>
      </c>
      <c r="D40" s="9" t="e">
        <f>VLOOKUP(B40,'Nutrition Plan'!$D$65:$F$75,3,0)</f>
        <v>#N/A</v>
      </c>
      <c r="E40" s="10" t="e">
        <f>D40/(100/9.8)</f>
        <v>#N/A</v>
      </c>
      <c r="F40" s="11">
        <f>0</f>
        <v>0</v>
      </c>
      <c r="G40" s="10" t="e">
        <f>D40/(100/1.6)</f>
        <v>#N/A</v>
      </c>
      <c r="H40" s="12" t="e">
        <f t="shared" si="5"/>
        <v>#N/A</v>
      </c>
      <c r="I40" s="1"/>
    </row>
    <row r="41" spans="1:9" ht="15.75" customHeight="1" thickTop="1" thickBot="1" x14ac:dyDescent="0.3">
      <c r="A41" s="1"/>
      <c r="B41" s="8" t="s">
        <v>74</v>
      </c>
      <c r="C41" s="8" t="s">
        <v>75</v>
      </c>
      <c r="D41" s="9" t="e">
        <f>VLOOKUP(B41,'Nutrition Plan'!$D$65:$F$75,3,0)</f>
        <v>#N/A</v>
      </c>
      <c r="E41" s="10" t="e">
        <f>D41/(1/3.6)</f>
        <v>#N/A</v>
      </c>
      <c r="F41" s="11" t="e">
        <f>D41/(1/0.06)</f>
        <v>#N/A</v>
      </c>
      <c r="G41" s="10" t="e">
        <f>D41/(1/0.24)</f>
        <v>#N/A</v>
      </c>
      <c r="H41" s="12" t="e">
        <f t="shared" si="5"/>
        <v>#N/A</v>
      </c>
      <c r="I41" s="1"/>
    </row>
    <row r="42" spans="1:9" ht="15.75" customHeight="1" thickTop="1" thickBot="1" x14ac:dyDescent="0.3">
      <c r="A42" s="1"/>
      <c r="B42" s="8" t="s">
        <v>77</v>
      </c>
      <c r="C42" s="8" t="s">
        <v>75</v>
      </c>
      <c r="D42" s="9" t="e">
        <f>VLOOKUP(B42,'Nutrition Plan'!$D$65:$F$75,3,0)</f>
        <v>#N/A</v>
      </c>
      <c r="E42" s="10" t="e">
        <f>D42/(1/6.28)</f>
        <v>#N/A</v>
      </c>
      <c r="F42" s="11" t="e">
        <f>D42/(1/4.76)</f>
        <v>#N/A</v>
      </c>
      <c r="G42" s="10" t="e">
        <f>D42/(1/0.36)</f>
        <v>#N/A</v>
      </c>
      <c r="H42" s="12" t="e">
        <f t="shared" si="5"/>
        <v>#N/A</v>
      </c>
      <c r="I42" s="1"/>
    </row>
    <row r="43" spans="1:9" ht="15.75" customHeight="1" thickTop="1" thickBot="1" x14ac:dyDescent="0.3">
      <c r="A43" s="1"/>
      <c r="B43" s="8" t="s">
        <v>78</v>
      </c>
      <c r="C43" s="8" t="s">
        <v>75</v>
      </c>
      <c r="D43" s="9" t="e">
        <f>VLOOKUP(B43,'Nutrition Plan'!$D$65:$F$75,3,0)</f>
        <v>#N/A</v>
      </c>
      <c r="E43" s="10" t="e">
        <f>D43/(1/7)</f>
        <v>#N/A</v>
      </c>
      <c r="F43" s="11" t="e">
        <f>D43/(1/4.5)</f>
        <v>#N/A</v>
      </c>
      <c r="G43" s="10">
        <v>0</v>
      </c>
      <c r="H43" s="12" t="e">
        <f t="shared" si="5"/>
        <v>#N/A</v>
      </c>
      <c r="I43" s="1"/>
    </row>
    <row r="44" spans="1:9" ht="15.75" customHeight="1" thickTop="1" thickBot="1" x14ac:dyDescent="0.3">
      <c r="A44" s="1"/>
      <c r="B44" s="8" t="s">
        <v>79</v>
      </c>
      <c r="C44" s="8" t="s">
        <v>7</v>
      </c>
      <c r="D44" s="9" t="e">
        <f>VLOOKUP(B44,'Nutrition Plan'!$D$65:$F$75,3,0)</f>
        <v>#N/A</v>
      </c>
      <c r="E44" s="10" t="e">
        <f t="shared" ref="E44:E45" si="10">D44/(46/5)</f>
        <v>#N/A</v>
      </c>
      <c r="F44" s="11">
        <f t="shared" ref="F44:F45" si="11">0</f>
        <v>0</v>
      </c>
      <c r="G44" s="10" t="e">
        <f>D44/(46/0.75)</f>
        <v>#N/A</v>
      </c>
      <c r="H44" s="12" t="e">
        <f t="shared" si="5"/>
        <v>#N/A</v>
      </c>
      <c r="I44" s="1"/>
    </row>
    <row r="45" spans="1:9" ht="15.75" customHeight="1" thickTop="1" thickBot="1" x14ac:dyDescent="0.3">
      <c r="A45" s="1"/>
      <c r="B45" s="8" t="s">
        <v>80</v>
      </c>
      <c r="C45" s="8" t="s">
        <v>7</v>
      </c>
      <c r="D45" s="9" t="e">
        <f>VLOOKUP(B45,'Nutrition Plan'!$D$65:$F$75,3,0)</f>
        <v>#N/A</v>
      </c>
      <c r="E45" s="10" t="e">
        <f t="shared" si="10"/>
        <v>#N/A</v>
      </c>
      <c r="F45" s="11">
        <f t="shared" si="11"/>
        <v>0</v>
      </c>
      <c r="G45" s="10">
        <f>0</f>
        <v>0</v>
      </c>
      <c r="H45" s="12" t="e">
        <f t="shared" si="5"/>
        <v>#N/A</v>
      </c>
      <c r="I45" s="1"/>
    </row>
    <row r="46" spans="1:9" ht="15.75" customHeight="1" thickTop="1" thickBot="1" x14ac:dyDescent="0.3">
      <c r="A46" s="1"/>
      <c r="B46" s="8" t="s">
        <v>81</v>
      </c>
      <c r="C46" s="8" t="s">
        <v>82</v>
      </c>
      <c r="D46" s="9" t="e">
        <f>VLOOKUP(B46,'Nutrition Plan'!$D$65:$F$75,3,0)</f>
        <v>#N/A</v>
      </c>
      <c r="E46" s="10" t="e">
        <f t="shared" ref="E46:E47" si="12">D46/(8/8)</f>
        <v>#N/A</v>
      </c>
      <c r="F46" s="11" t="e">
        <f>D46/(8/2.4)</f>
        <v>#N/A</v>
      </c>
      <c r="G46" s="10" t="e">
        <f t="shared" ref="G46:G47" si="13">D46/(8/12)</f>
        <v>#N/A</v>
      </c>
      <c r="H46" s="12" t="e">
        <f t="shared" si="5"/>
        <v>#N/A</v>
      </c>
      <c r="I46" s="1"/>
    </row>
    <row r="47" spans="1:9" ht="15.75" customHeight="1" thickTop="1" thickBot="1" x14ac:dyDescent="0.3">
      <c r="A47" s="1"/>
      <c r="B47" s="8" t="s">
        <v>83</v>
      </c>
      <c r="C47" s="8" t="s">
        <v>82</v>
      </c>
      <c r="D47" s="9" t="e">
        <f>VLOOKUP(B47,'Nutrition Plan'!$D$65:$F$75,3,0)</f>
        <v>#N/A</v>
      </c>
      <c r="E47" s="10" t="e">
        <f t="shared" si="12"/>
        <v>#N/A</v>
      </c>
      <c r="F47" s="11" t="e">
        <f>D47/(8/4.9)</f>
        <v>#N/A</v>
      </c>
      <c r="G47" s="10" t="e">
        <f t="shared" si="13"/>
        <v>#N/A</v>
      </c>
      <c r="H47" s="12" t="e">
        <f t="shared" si="5"/>
        <v>#N/A</v>
      </c>
      <c r="I47" s="1"/>
    </row>
    <row r="48" spans="1:9" ht="15.75" customHeight="1" thickTop="1" thickBot="1" x14ac:dyDescent="0.3">
      <c r="A48" s="1"/>
      <c r="B48" s="8" t="s">
        <v>84</v>
      </c>
      <c r="C48" s="8" t="s">
        <v>82</v>
      </c>
      <c r="D48" s="9" t="e">
        <f>VLOOKUP(B48,'Nutrition Plan'!$D$65:$F$75,3,0)</f>
        <v>#N/A</v>
      </c>
      <c r="E48" s="10" t="e">
        <f t="shared" ref="E48:E50" si="14">D48/(8/1)</f>
        <v>#N/A</v>
      </c>
      <c r="F48" s="11" t="e">
        <f>D48/(8/2.5)</f>
        <v>#N/A</v>
      </c>
      <c r="G48" s="10" t="e">
        <f t="shared" ref="G48:G50" si="15">D48/(8/1)</f>
        <v>#N/A</v>
      </c>
      <c r="H48" s="12" t="e">
        <f t="shared" si="5"/>
        <v>#N/A</v>
      </c>
      <c r="I48" s="1"/>
    </row>
    <row r="49" spans="1:9" ht="15.75" customHeight="1" thickTop="1" thickBot="1" x14ac:dyDescent="0.3">
      <c r="A49" s="1"/>
      <c r="B49" s="8" t="s">
        <v>85</v>
      </c>
      <c r="C49" s="8" t="s">
        <v>82</v>
      </c>
      <c r="D49" s="9" t="e">
        <f>VLOOKUP(B49,'Nutrition Plan'!$D$65:$F$75,3,0)</f>
        <v>#N/A</v>
      </c>
      <c r="E49" s="10" t="e">
        <f t="shared" si="14"/>
        <v>#N/A</v>
      </c>
      <c r="F49" s="11" t="e">
        <f>D49/(8/2)</f>
        <v>#N/A</v>
      </c>
      <c r="G49" s="10" t="e">
        <f t="shared" si="15"/>
        <v>#N/A</v>
      </c>
      <c r="H49" s="12" t="e">
        <f t="shared" si="5"/>
        <v>#N/A</v>
      </c>
      <c r="I49" s="1"/>
    </row>
    <row r="50" spans="1:9" ht="15.75" customHeight="1" thickTop="1" thickBot="1" x14ac:dyDescent="0.3">
      <c r="A50" s="1"/>
      <c r="B50" s="8" t="s">
        <v>86</v>
      </c>
      <c r="C50" s="8" t="s">
        <v>82</v>
      </c>
      <c r="D50" s="9" t="e">
        <f>VLOOKUP(B50,'Nutrition Plan'!$D$65:$F$75,3,0)</f>
        <v>#N/A</v>
      </c>
      <c r="E50" s="10" t="e">
        <f t="shared" si="14"/>
        <v>#N/A</v>
      </c>
      <c r="F50" s="11" t="e">
        <f>D50/(8/3.5)</f>
        <v>#N/A</v>
      </c>
      <c r="G50" s="10" t="e">
        <f t="shared" si="15"/>
        <v>#N/A</v>
      </c>
      <c r="H50" s="12" t="e">
        <f t="shared" si="5"/>
        <v>#N/A</v>
      </c>
      <c r="I50" s="1"/>
    </row>
    <row r="51" spans="1:9" ht="15.75" customHeight="1" thickTop="1" thickBot="1" x14ac:dyDescent="0.3">
      <c r="A51" s="1"/>
      <c r="B51" s="8" t="s">
        <v>87</v>
      </c>
      <c r="C51" s="8" t="s">
        <v>82</v>
      </c>
      <c r="D51" s="9" t="e">
        <f>VLOOKUP(B51,'Nutrition Plan'!$D$65:$F$75,3,0)</f>
        <v>#N/A</v>
      </c>
      <c r="E51" s="10" t="e">
        <f t="shared" ref="E51:E52" si="16">D51/(8/8)</f>
        <v>#N/A</v>
      </c>
      <c r="F51" s="11" t="e">
        <f>D51/(8/0.2)</f>
        <v>#N/A</v>
      </c>
      <c r="G51" s="10" t="e">
        <f t="shared" ref="G51:G52" si="17">D51/(8/12)</f>
        <v>#N/A</v>
      </c>
      <c r="H51" s="12" t="e">
        <f t="shared" si="5"/>
        <v>#N/A</v>
      </c>
      <c r="I51" s="1"/>
    </row>
    <row r="52" spans="1:9" ht="15.75" customHeight="1" thickTop="1" thickBot="1" x14ac:dyDescent="0.3">
      <c r="A52" s="1"/>
      <c r="B52" s="8" t="s">
        <v>89</v>
      </c>
      <c r="C52" s="8" t="s">
        <v>82</v>
      </c>
      <c r="D52" s="9" t="e">
        <f>VLOOKUP(B52,'Nutrition Plan'!$D$65:$F$75,3,0)</f>
        <v>#N/A</v>
      </c>
      <c r="E52" s="10" t="e">
        <f t="shared" si="16"/>
        <v>#N/A</v>
      </c>
      <c r="F52" s="11" t="e">
        <f>D52/(8/8)</f>
        <v>#N/A</v>
      </c>
      <c r="G52" s="10" t="e">
        <f t="shared" si="17"/>
        <v>#N/A</v>
      </c>
      <c r="H52" s="12" t="e">
        <f t="shared" si="5"/>
        <v>#N/A</v>
      </c>
      <c r="I52" s="1"/>
    </row>
    <row r="53" spans="1:9" ht="15.75" customHeight="1" thickTop="1" thickBot="1" x14ac:dyDescent="0.3">
      <c r="A53" s="1"/>
      <c r="B53" s="8" t="s">
        <v>90</v>
      </c>
      <c r="C53" s="8" t="s">
        <v>7</v>
      </c>
      <c r="D53" s="9" t="e">
        <f>VLOOKUP(B53,'Nutrition Plan'!$D$65:$F$75,3,0)</f>
        <v>#N/A</v>
      </c>
      <c r="E53" s="10" t="e">
        <f>D53/(224/22.7)</f>
        <v>#N/A</v>
      </c>
      <c r="F53" s="11">
        <f>0</f>
        <v>0</v>
      </c>
      <c r="G53" s="10" t="e">
        <f>D53/(224/10.6)</f>
        <v>#N/A</v>
      </c>
      <c r="H53" s="12" t="e">
        <f t="shared" si="5"/>
        <v>#N/A</v>
      </c>
      <c r="I53" s="1"/>
    </row>
    <row r="54" spans="1:9" ht="15.75" customHeight="1" thickTop="1" x14ac:dyDescent="0.3">
      <c r="A54" s="1"/>
      <c r="B54" s="173" t="s">
        <v>5</v>
      </c>
      <c r="C54" s="174"/>
      <c r="D54" s="174"/>
      <c r="E54" s="174"/>
      <c r="F54" s="174"/>
      <c r="G54" s="174"/>
      <c r="H54" s="134"/>
      <c r="I54" s="1"/>
    </row>
    <row r="55" spans="1:9" ht="15.75" customHeight="1" thickBot="1" x14ac:dyDescent="0.3">
      <c r="A55" s="1"/>
      <c r="B55" s="8" t="s">
        <v>91</v>
      </c>
      <c r="C55" s="8" t="s">
        <v>7</v>
      </c>
      <c r="D55" s="9" t="e">
        <f>VLOOKUP(B55,'Nutrition Plan'!$D$65:$F$75,3,0)</f>
        <v>#N/A</v>
      </c>
      <c r="E55" s="10" t="e">
        <f>D55/(32/6)</f>
        <v>#N/A</v>
      </c>
      <c r="F55" s="11" t="e">
        <f>D55/(32/16)</f>
        <v>#N/A</v>
      </c>
      <c r="G55" s="10" t="e">
        <f>D55/(32/7)</f>
        <v>#N/A</v>
      </c>
      <c r="H55" s="12" t="e">
        <f t="shared" ref="H55:H71" si="18">(E55*4)+(F55*9)+(G55*4)</f>
        <v>#N/A</v>
      </c>
      <c r="I55" s="1"/>
    </row>
    <row r="56" spans="1:9" ht="15.75" customHeight="1" thickTop="1" thickBot="1" x14ac:dyDescent="0.3">
      <c r="A56" s="1"/>
      <c r="B56" s="8" t="s">
        <v>92</v>
      </c>
      <c r="C56" s="8" t="s">
        <v>7</v>
      </c>
      <c r="D56" s="9" t="e">
        <f>VLOOKUP(B56,'Nutrition Plan'!$D$65:$F$75,3,0)</f>
        <v>#N/A</v>
      </c>
      <c r="E56" s="10" t="e">
        <f>D56/(32/7)</f>
        <v>#N/A</v>
      </c>
      <c r="F56" s="11" t="e">
        <f>D56/(32/18)</f>
        <v>#N/A</v>
      </c>
      <c r="G56" s="10" t="e">
        <f>D56/(32/6)</f>
        <v>#N/A</v>
      </c>
      <c r="H56" s="12" t="e">
        <f t="shared" si="18"/>
        <v>#N/A</v>
      </c>
      <c r="I56" s="1"/>
    </row>
    <row r="57" spans="1:9" ht="15.75" customHeight="1" thickTop="1" thickBot="1" x14ac:dyDescent="0.3">
      <c r="A57" s="1"/>
      <c r="B57" s="8" t="s">
        <v>93</v>
      </c>
      <c r="C57" s="8" t="s">
        <v>7</v>
      </c>
      <c r="D57" s="9" t="e">
        <f>VLOOKUP(B57,'Nutrition Plan'!$D$65:$F$75,3,0)</f>
        <v>#N/A</v>
      </c>
      <c r="E57" s="10" t="e">
        <f>D57/(12/4)</f>
        <v>#N/A</v>
      </c>
      <c r="F57" s="11" t="e">
        <f>D57/(12/1.5)</f>
        <v>#N/A</v>
      </c>
      <c r="G57" s="10" t="e">
        <f>D57/(12/5)</f>
        <v>#N/A</v>
      </c>
      <c r="H57" s="12" t="e">
        <f t="shared" si="18"/>
        <v>#N/A</v>
      </c>
      <c r="I57" s="1"/>
    </row>
    <row r="58" spans="1:9" ht="15.75" customHeight="1" thickTop="1" thickBot="1" x14ac:dyDescent="0.3">
      <c r="A58" s="1"/>
      <c r="B58" s="8" t="s">
        <v>95</v>
      </c>
      <c r="C58" s="8" t="s">
        <v>7</v>
      </c>
      <c r="D58" s="9" t="e">
        <f>VLOOKUP(B58,'Nutrition Plan'!$D$65:$F$75,3,0)</f>
        <v>#N/A</v>
      </c>
      <c r="E58" s="10" t="e">
        <f>D58/(14/7)</f>
        <v>#N/A</v>
      </c>
      <c r="F58" s="11" t="e">
        <f>D58/(14/2)</f>
        <v>#N/A</v>
      </c>
      <c r="G58" s="10" t="e">
        <f>D58/(14/3)</f>
        <v>#N/A</v>
      </c>
      <c r="H58" s="12" t="e">
        <f t="shared" si="18"/>
        <v>#N/A</v>
      </c>
      <c r="I58" s="1"/>
    </row>
    <row r="59" spans="1:9" ht="15.75" customHeight="1" thickTop="1" thickBot="1" x14ac:dyDescent="0.3">
      <c r="A59" s="1"/>
      <c r="B59" s="8" t="s">
        <v>96</v>
      </c>
      <c r="C59" s="8" t="s">
        <v>7</v>
      </c>
      <c r="D59" s="9" t="e">
        <f>VLOOKUP(B59,'Nutrition Plan'!$D$65:$F$75,3,0)</f>
        <v>#N/A</v>
      </c>
      <c r="E59" s="10" t="e">
        <f>D59/(12/6)</f>
        <v>#N/A</v>
      </c>
      <c r="F59" s="11" t="e">
        <f>D59/(12/1.5)</f>
        <v>#N/A</v>
      </c>
      <c r="G59" s="10" t="e">
        <f>D59/(12/3)</f>
        <v>#N/A</v>
      </c>
      <c r="H59" s="12" t="e">
        <f t="shared" si="18"/>
        <v>#N/A</v>
      </c>
      <c r="I59" s="1"/>
    </row>
    <row r="60" spans="1:9" ht="15.75" customHeight="1" thickTop="1" thickBot="1" x14ac:dyDescent="0.3">
      <c r="A60" s="1"/>
      <c r="B60" s="8" t="s">
        <v>97</v>
      </c>
      <c r="C60" s="8" t="s">
        <v>7</v>
      </c>
      <c r="D60" s="9" t="e">
        <f>VLOOKUP(B60,'Nutrition Plan'!$D$65:$F$75,3,0)</f>
        <v>#N/A</v>
      </c>
      <c r="E60" s="10" t="e">
        <f>D60/(32/7)</f>
        <v>#N/A</v>
      </c>
      <c r="F60" s="11" t="e">
        <f>D60/(32/16)</f>
        <v>#N/A</v>
      </c>
      <c r="G60" s="10" t="e">
        <f>D60/(32/6)</f>
        <v>#N/A</v>
      </c>
      <c r="H60" s="12" t="e">
        <f t="shared" si="18"/>
        <v>#N/A</v>
      </c>
      <c r="I60" s="1"/>
    </row>
    <row r="61" spans="1:9" ht="15.75" customHeight="1" thickTop="1" thickBot="1" x14ac:dyDescent="0.3">
      <c r="A61" s="1"/>
      <c r="B61" s="8" t="s">
        <v>98</v>
      </c>
      <c r="C61" s="8" t="s">
        <v>7</v>
      </c>
      <c r="D61" s="9" t="e">
        <f>VLOOKUP(B61,'Nutrition Plan'!$D$65:$F$75,3,0)</f>
        <v>#N/A</v>
      </c>
      <c r="E61" s="10" t="e">
        <f>D61/(28/6)</f>
        <v>#N/A</v>
      </c>
      <c r="F61" s="11" t="e">
        <f>D61/(28/14)</f>
        <v>#N/A</v>
      </c>
      <c r="G61" s="10" t="e">
        <f>D61/(28/5.6)</f>
        <v>#N/A</v>
      </c>
      <c r="H61" s="12" t="e">
        <f t="shared" si="18"/>
        <v>#N/A</v>
      </c>
      <c r="I61" s="1"/>
    </row>
    <row r="62" spans="1:9" ht="15.75" customHeight="1" thickTop="1" thickBot="1" x14ac:dyDescent="0.3">
      <c r="A62" s="1"/>
      <c r="B62" s="8" t="s">
        <v>99</v>
      </c>
      <c r="C62" s="8" t="s">
        <v>7</v>
      </c>
      <c r="D62" s="9" t="e">
        <f>VLOOKUP(B62,'Nutrition Plan'!$D$65:$F$75,3,0)</f>
        <v>#N/A</v>
      </c>
      <c r="E62" s="10" t="e">
        <f>D62/(100/18.22)</f>
        <v>#N/A</v>
      </c>
      <c r="F62" s="11" t="e">
        <f>D62/(100/43.85)</f>
        <v>#N/A</v>
      </c>
      <c r="G62" s="10" t="e">
        <f>D62/(100/30.19)</f>
        <v>#N/A</v>
      </c>
      <c r="H62" s="12" t="e">
        <f t="shared" si="18"/>
        <v>#N/A</v>
      </c>
      <c r="I62" s="1"/>
    </row>
    <row r="63" spans="1:9" ht="15.75" customHeight="1" thickTop="1" thickBot="1" x14ac:dyDescent="0.3">
      <c r="A63" s="1"/>
      <c r="B63" s="8" t="s">
        <v>100</v>
      </c>
      <c r="C63" s="8" t="s">
        <v>7</v>
      </c>
      <c r="D63" s="9" t="e">
        <f>VLOOKUP(B63,'Nutrition Plan'!$D$65:$F$75,3,0)</f>
        <v>#N/A</v>
      </c>
      <c r="E63" s="10" t="e">
        <f>D63/(28/7)</f>
        <v>#N/A</v>
      </c>
      <c r="F63" s="11" t="e">
        <f>D63/(28/14)</f>
        <v>#N/A</v>
      </c>
      <c r="G63" s="10" t="e">
        <f>D63/(28/5)</f>
        <v>#N/A</v>
      </c>
      <c r="H63" s="12" t="e">
        <f t="shared" si="18"/>
        <v>#N/A</v>
      </c>
      <c r="I63" s="1"/>
    </row>
    <row r="64" spans="1:9" ht="15.75" customHeight="1" thickTop="1" thickBot="1" x14ac:dyDescent="0.3">
      <c r="A64" s="1"/>
      <c r="B64" s="8" t="s">
        <v>101</v>
      </c>
      <c r="C64" s="8" t="s">
        <v>7</v>
      </c>
      <c r="D64" s="9" t="e">
        <f>VLOOKUP(B64,'Nutrition Plan'!$D$65:$F$75,3,0)</f>
        <v>#N/A</v>
      </c>
      <c r="E64" s="10" t="e">
        <f>D64/(28/6)</f>
        <v>#N/A</v>
      </c>
      <c r="F64" s="11" t="e">
        <f>D64/(28/12)</f>
        <v>#N/A</v>
      </c>
      <c r="G64" s="10" t="e">
        <f>D64/(28/8)</f>
        <v>#N/A</v>
      </c>
      <c r="H64" s="12" t="e">
        <f t="shared" si="18"/>
        <v>#N/A</v>
      </c>
      <c r="I64" s="1"/>
    </row>
    <row r="65" spans="1:9" ht="15.75" customHeight="1" thickTop="1" thickBot="1" x14ac:dyDescent="0.3">
      <c r="A65" s="1"/>
      <c r="B65" s="8" t="s">
        <v>102</v>
      </c>
      <c r="C65" s="8" t="s">
        <v>7</v>
      </c>
      <c r="D65" s="9" t="e">
        <f>VLOOKUP(B65,'Nutrition Plan'!$D$65:$F$75,3,0)</f>
        <v>#N/A</v>
      </c>
      <c r="E65" s="10" t="e">
        <f>D65/(28/4)</f>
        <v>#N/A</v>
      </c>
      <c r="F65" s="11" t="e">
        <f>D65/(28/18)</f>
        <v>#N/A</v>
      </c>
      <c r="G65" s="10" t="e">
        <f>D65/(28/4)</f>
        <v>#N/A</v>
      </c>
      <c r="H65" s="12" t="e">
        <f t="shared" si="18"/>
        <v>#N/A</v>
      </c>
      <c r="I65" s="1"/>
    </row>
    <row r="66" spans="1:9" ht="15.75" customHeight="1" thickTop="1" thickBot="1" x14ac:dyDescent="0.3">
      <c r="A66" s="1"/>
      <c r="B66" s="8" t="s">
        <v>103</v>
      </c>
      <c r="C66" s="8" t="s">
        <v>7</v>
      </c>
      <c r="D66" s="9" t="e">
        <f>VLOOKUP(B66,'Nutrition Plan'!$D$65:$F$75,3,0)</f>
        <v>#N/A</v>
      </c>
      <c r="E66" s="10">
        <f t="shared" ref="E66:E67" si="19">0</f>
        <v>0</v>
      </c>
      <c r="F66" s="11" t="e">
        <f t="shared" ref="F66:F67" si="20">D66</f>
        <v>#N/A</v>
      </c>
      <c r="G66" s="10">
        <f t="shared" ref="G66:G67" si="21">0</f>
        <v>0</v>
      </c>
      <c r="H66" s="12" t="e">
        <f t="shared" si="18"/>
        <v>#N/A</v>
      </c>
      <c r="I66" s="1"/>
    </row>
    <row r="67" spans="1:9" ht="15.75" customHeight="1" thickTop="1" thickBot="1" x14ac:dyDescent="0.3">
      <c r="A67" s="1"/>
      <c r="B67" s="8" t="s">
        <v>104</v>
      </c>
      <c r="C67" s="8" t="s">
        <v>7</v>
      </c>
      <c r="D67" s="9" t="e">
        <f>VLOOKUP(B67,'Nutrition Plan'!$D$65:$F$75,3,0)</f>
        <v>#N/A</v>
      </c>
      <c r="E67" s="10">
        <f t="shared" si="19"/>
        <v>0</v>
      </c>
      <c r="F67" s="11" t="e">
        <f t="shared" si="20"/>
        <v>#N/A</v>
      </c>
      <c r="G67" s="10">
        <f t="shared" si="21"/>
        <v>0</v>
      </c>
      <c r="H67" s="12" t="e">
        <f t="shared" si="18"/>
        <v>#N/A</v>
      </c>
      <c r="I67" s="1"/>
    </row>
    <row r="68" spans="1:9" ht="15.75" customHeight="1" thickTop="1" thickBot="1" x14ac:dyDescent="0.3">
      <c r="A68" s="1"/>
      <c r="B68" s="8" t="s">
        <v>105</v>
      </c>
      <c r="C68" s="8" t="s">
        <v>7</v>
      </c>
      <c r="D68" s="9" t="e">
        <f>VLOOKUP(B68,'Nutrition Plan'!$D$65:$F$75,3,0)</f>
        <v>#N/A</v>
      </c>
      <c r="E68" s="10" t="e">
        <f>D68/(100/16.54)</f>
        <v>#N/A</v>
      </c>
      <c r="F68" s="11" t="e">
        <f>D68/(100/30.74)</f>
        <v>#N/A</v>
      </c>
      <c r="G68" s="10" t="e">
        <f>D68/(100/42.12)</f>
        <v>#N/A</v>
      </c>
      <c r="H68" s="12" t="e">
        <f t="shared" si="18"/>
        <v>#N/A</v>
      </c>
      <c r="I68" s="1"/>
    </row>
    <row r="69" spans="1:9" ht="15.75" customHeight="1" thickTop="1" thickBot="1" x14ac:dyDescent="0.3">
      <c r="A69" s="1"/>
      <c r="B69" s="8" t="s">
        <v>106</v>
      </c>
      <c r="C69" s="8" t="s">
        <v>7</v>
      </c>
      <c r="D69" s="9" t="e">
        <f>VLOOKUP(B69,'Nutrition Plan'!$D$65:$F$75,3,0)</f>
        <v>#N/A</v>
      </c>
      <c r="E69" s="10" t="e">
        <f>D69/(100/18.29)</f>
        <v>#N/A</v>
      </c>
      <c r="F69" s="11" t="e">
        <f>D69/(100/42.16)</f>
        <v>#N/A</v>
      </c>
      <c r="G69" s="10" t="e">
        <f>D69/(100/28.88)</f>
        <v>#N/A</v>
      </c>
      <c r="H69" s="12" t="e">
        <f t="shared" si="18"/>
        <v>#N/A</v>
      </c>
      <c r="I69" s="1"/>
    </row>
    <row r="70" spans="1:9" ht="15.75" customHeight="1" thickTop="1" thickBot="1" x14ac:dyDescent="0.3">
      <c r="A70" s="1"/>
      <c r="B70" s="8" t="s">
        <v>107</v>
      </c>
      <c r="C70" s="8" t="s">
        <v>7</v>
      </c>
      <c r="D70" s="9" t="e">
        <f>VLOOKUP(B70,'Nutrition Plan'!$D$65:$F$75,3,0)</f>
        <v>#N/A</v>
      </c>
      <c r="E70" s="10" t="e">
        <f>D70/(100/31.56)</f>
        <v>#N/A</v>
      </c>
      <c r="F70" s="11" t="e">
        <f>D70/(100/48.75)</f>
        <v>#N/A</v>
      </c>
      <c r="G70" s="10" t="e">
        <f>D70/(100/8.67)</f>
        <v>#N/A</v>
      </c>
      <c r="H70" s="12" t="e">
        <f t="shared" si="18"/>
        <v>#N/A</v>
      </c>
      <c r="I70" s="1"/>
    </row>
    <row r="71" spans="1:9" ht="15.75" customHeight="1" thickTop="1" thickBot="1" x14ac:dyDescent="0.3">
      <c r="A71" s="1"/>
      <c r="B71" s="8" t="s">
        <v>108</v>
      </c>
      <c r="C71" s="8" t="s">
        <v>7</v>
      </c>
      <c r="D71" s="9" t="e">
        <f>VLOOKUP(B71,'Nutrition Plan'!$D$65:$F$75,3,0)</f>
        <v>#N/A</v>
      </c>
      <c r="E71" s="10" t="e">
        <f>D71/(28/6)</f>
        <v>#N/A</v>
      </c>
      <c r="F71" s="11" t="e">
        <f>D71/(28/14)</f>
        <v>#N/A</v>
      </c>
      <c r="G71" s="10" t="e">
        <f>D71/(28/6)</f>
        <v>#N/A</v>
      </c>
      <c r="H71" s="12" t="e">
        <f t="shared" si="18"/>
        <v>#N/A</v>
      </c>
      <c r="I71" s="1"/>
    </row>
    <row r="72" spans="1:9" ht="15.75" customHeight="1" thickTop="1" x14ac:dyDescent="0.3">
      <c r="A72" s="1"/>
      <c r="B72" s="173" t="s">
        <v>33</v>
      </c>
      <c r="C72" s="174"/>
      <c r="D72" s="174"/>
      <c r="E72" s="174"/>
      <c r="F72" s="174"/>
      <c r="G72" s="174"/>
      <c r="H72" s="134"/>
      <c r="I72" s="1"/>
    </row>
    <row r="73" spans="1:9" ht="15.75" customHeight="1" thickBot="1" x14ac:dyDescent="0.3">
      <c r="A73" s="1"/>
      <c r="B73" s="8" t="s">
        <v>180</v>
      </c>
      <c r="C73" s="8" t="s">
        <v>7</v>
      </c>
      <c r="D73" s="9" t="e">
        <f>VLOOKUP(B73,'Nutrition Plan'!$D$65:$F$75,3,0)</f>
        <v>#N/A</v>
      </c>
      <c r="E73" s="10" t="e">
        <f>D73/(28/6)</f>
        <v>#N/A</v>
      </c>
      <c r="F73" s="11" t="e">
        <f>D73/(28/0.2)</f>
        <v>#N/A</v>
      </c>
      <c r="G73" s="10">
        <v>0</v>
      </c>
      <c r="H73" s="12" t="e">
        <f t="shared" ref="H73:H108" si="22">(E73*4)+(F73*9)+(G73*4)</f>
        <v>#N/A</v>
      </c>
      <c r="I73" s="1"/>
    </row>
    <row r="74" spans="1:9" ht="15.75" customHeight="1" thickTop="1" thickBot="1" x14ac:dyDescent="0.3">
      <c r="A74" s="1"/>
      <c r="B74" s="8" t="s">
        <v>181</v>
      </c>
      <c r="C74" s="8" t="s">
        <v>7</v>
      </c>
      <c r="D74" s="9" t="e">
        <f>VLOOKUP(B74,'Nutrition Plan'!$D$65:$F$75,3,0)</f>
        <v>#N/A</v>
      </c>
      <c r="E74" s="10" t="e">
        <f>D74/(28/5)</f>
        <v>#N/A</v>
      </c>
      <c r="F74" s="11" t="e">
        <f>D74/(28/1)</f>
        <v>#N/A</v>
      </c>
      <c r="G74" s="10">
        <v>0</v>
      </c>
      <c r="H74" s="12" t="e">
        <f t="shared" si="22"/>
        <v>#N/A</v>
      </c>
      <c r="I74" s="1"/>
    </row>
    <row r="75" spans="1:9" ht="15.75" customHeight="1" thickTop="1" thickBot="1" x14ac:dyDescent="0.3">
      <c r="A75" s="1"/>
      <c r="B75" s="8" t="s">
        <v>182</v>
      </c>
      <c r="C75" s="8" t="s">
        <v>7</v>
      </c>
      <c r="D75" s="9" t="e">
        <f>VLOOKUP(B75,'Nutrition Plan'!$D$65:$F$75,3,0)</f>
        <v>#N/A</v>
      </c>
      <c r="E75" s="10" t="e">
        <f>D75/(28/6.5)</f>
        <v>#N/A</v>
      </c>
      <c r="F75" s="11" t="e">
        <f>D75/(28/0.2)</f>
        <v>#N/A</v>
      </c>
      <c r="G75" s="10">
        <v>0</v>
      </c>
      <c r="H75" s="12" t="e">
        <f t="shared" si="22"/>
        <v>#N/A</v>
      </c>
      <c r="I75" s="1"/>
    </row>
    <row r="76" spans="1:9" ht="15.75" customHeight="1" thickTop="1" thickBot="1" x14ac:dyDescent="0.3">
      <c r="A76" s="1"/>
      <c r="B76" s="8" t="s">
        <v>183</v>
      </c>
      <c r="C76" s="8" t="s">
        <v>7</v>
      </c>
      <c r="D76" s="9" t="e">
        <f>VLOOKUP(B76,'Nutrition Plan'!$D$65:$F$75,3,0)</f>
        <v>#N/A</v>
      </c>
      <c r="E76" s="10" t="e">
        <f>D76/(28/5)</f>
        <v>#N/A</v>
      </c>
      <c r="F76" s="11" t="e">
        <f>D76/(28/1)</f>
        <v>#N/A</v>
      </c>
      <c r="G76" s="10">
        <v>0</v>
      </c>
      <c r="H76" s="12" t="e">
        <f t="shared" si="22"/>
        <v>#N/A</v>
      </c>
      <c r="I76" s="1"/>
    </row>
    <row r="77" spans="1:9" ht="15.75" customHeight="1" thickTop="1" thickBot="1" x14ac:dyDescent="0.3">
      <c r="A77" s="1"/>
      <c r="B77" s="8" t="s">
        <v>184</v>
      </c>
      <c r="C77" s="8" t="s">
        <v>7</v>
      </c>
      <c r="D77" s="9" t="e">
        <f>VLOOKUP(B77,'Nutrition Plan'!$D$65:$F$75,3,0)</f>
        <v>#N/A</v>
      </c>
      <c r="E77" s="10" t="e">
        <f>D77/(28/6)</f>
        <v>#N/A</v>
      </c>
      <c r="F77" s="11" t="e">
        <f>D77/(28/0.2)</f>
        <v>#N/A</v>
      </c>
      <c r="G77" s="10">
        <v>0</v>
      </c>
      <c r="H77" s="12" t="e">
        <f t="shared" si="22"/>
        <v>#N/A</v>
      </c>
      <c r="I77" s="1"/>
    </row>
    <row r="78" spans="1:9" ht="15.75" customHeight="1" thickTop="1" thickBot="1" x14ac:dyDescent="0.3">
      <c r="A78" s="1"/>
      <c r="B78" s="8" t="s">
        <v>185</v>
      </c>
      <c r="C78" s="8" t="s">
        <v>7</v>
      </c>
      <c r="D78" s="9" t="e">
        <f>VLOOKUP(B78,'Nutrition Plan'!$D$65:$F$75,3,0)</f>
        <v>#N/A</v>
      </c>
      <c r="E78" s="10" t="e">
        <f>D78/(28/6.4)</f>
        <v>#N/A</v>
      </c>
      <c r="F78" s="11" t="e">
        <f>D78/(28/0.5)</f>
        <v>#N/A</v>
      </c>
      <c r="G78" s="10">
        <v>0</v>
      </c>
      <c r="H78" s="12" t="e">
        <f t="shared" si="22"/>
        <v>#N/A</v>
      </c>
      <c r="I78" s="1"/>
    </row>
    <row r="79" spans="1:9" ht="15.75" customHeight="1" thickTop="1" thickBot="1" x14ac:dyDescent="0.3">
      <c r="A79" s="1"/>
      <c r="B79" s="8" t="s">
        <v>186</v>
      </c>
      <c r="C79" s="8" t="s">
        <v>7</v>
      </c>
      <c r="D79" s="9" t="e">
        <f>VLOOKUP(B79,'Nutrition Plan'!$D$65:$F$75,3,0)</f>
        <v>#N/A</v>
      </c>
      <c r="E79" s="10" t="e">
        <f t="shared" ref="E79:E80" si="23">D79/(28/7)</f>
        <v>#N/A</v>
      </c>
      <c r="F79" s="11" t="e">
        <f>D79/(28/1)</f>
        <v>#N/A</v>
      </c>
      <c r="G79" s="10">
        <v>0</v>
      </c>
      <c r="H79" s="12" t="e">
        <f t="shared" si="22"/>
        <v>#N/A</v>
      </c>
      <c r="I79" s="1"/>
    </row>
    <row r="80" spans="1:9" ht="15.75" customHeight="1" thickTop="1" thickBot="1" x14ac:dyDescent="0.3">
      <c r="A80" s="1"/>
      <c r="B80" s="8" t="s">
        <v>187</v>
      </c>
      <c r="C80" s="8" t="s">
        <v>7</v>
      </c>
      <c r="D80" s="9" t="e">
        <f>VLOOKUP(B80,'Nutrition Plan'!$D$65:$F$75,3,0)</f>
        <v>#N/A</v>
      </c>
      <c r="E80" s="10" t="e">
        <f t="shared" si="23"/>
        <v>#N/A</v>
      </c>
      <c r="F80" s="11" t="e">
        <f>D80/(28/0.5)</f>
        <v>#N/A</v>
      </c>
      <c r="G80" s="10">
        <v>0</v>
      </c>
      <c r="H80" s="12" t="e">
        <f t="shared" si="22"/>
        <v>#N/A</v>
      </c>
      <c r="I80" s="1"/>
    </row>
    <row r="81" spans="1:9" ht="15.75" customHeight="1" thickTop="1" thickBot="1" x14ac:dyDescent="0.3">
      <c r="A81" s="1"/>
      <c r="B81" s="8" t="s">
        <v>188</v>
      </c>
      <c r="C81" s="8" t="s">
        <v>7</v>
      </c>
      <c r="D81" s="9" t="e">
        <f>VLOOKUP(B81,'Nutrition Plan'!$D$65:$F$75,3,0)</f>
        <v>#N/A</v>
      </c>
      <c r="E81" s="10" t="e">
        <f>D81/(28/6)</f>
        <v>#N/A</v>
      </c>
      <c r="F81" s="11" t="e">
        <f>D81/(28/0.25)</f>
        <v>#N/A</v>
      </c>
      <c r="G81" s="10">
        <v>0</v>
      </c>
      <c r="H81" s="12" t="e">
        <f t="shared" si="22"/>
        <v>#N/A</v>
      </c>
      <c r="I81" s="1"/>
    </row>
    <row r="82" spans="1:9" ht="15.75" customHeight="1" thickTop="1" thickBot="1" x14ac:dyDescent="0.3">
      <c r="A82" s="1"/>
      <c r="B82" s="8" t="s">
        <v>189</v>
      </c>
      <c r="C82" s="8" t="s">
        <v>7</v>
      </c>
      <c r="D82" s="9" t="e">
        <f>VLOOKUP(B82,'Nutrition Plan'!$D$65:$F$75,3,0)</f>
        <v>#N/A</v>
      </c>
      <c r="E82" s="10" t="e">
        <f>D82/(28/7)</f>
        <v>#N/A</v>
      </c>
      <c r="F82" s="11" t="e">
        <f>D82/(28/0.75)</f>
        <v>#N/A</v>
      </c>
      <c r="G82" s="10">
        <v>0</v>
      </c>
      <c r="H82" s="12" t="e">
        <f t="shared" si="22"/>
        <v>#N/A</v>
      </c>
      <c r="I82" s="1"/>
    </row>
    <row r="83" spans="1:9" ht="15.75" customHeight="1" thickTop="1" thickBot="1" x14ac:dyDescent="0.3">
      <c r="A83" s="1"/>
      <c r="B83" s="8" t="s">
        <v>190</v>
      </c>
      <c r="C83" s="8" t="s">
        <v>7</v>
      </c>
      <c r="D83" s="9" t="e">
        <f>VLOOKUP(B83,'Nutrition Plan'!$D$65:$F$75,3,0)</f>
        <v>#N/A</v>
      </c>
      <c r="E83" s="10" t="e">
        <f>D83/(113/23.98)</f>
        <v>#N/A</v>
      </c>
      <c r="F83" s="11" t="e">
        <f>D83/(113/0.28)</f>
        <v>#N/A</v>
      </c>
      <c r="G83" s="10" t="e">
        <f>D83/(113/0.2)</f>
        <v>#N/A</v>
      </c>
      <c r="H83" s="12" t="e">
        <f t="shared" si="22"/>
        <v>#N/A</v>
      </c>
      <c r="I83" s="1"/>
    </row>
    <row r="84" spans="1:9" ht="15.75" customHeight="1" thickTop="1" thickBot="1" x14ac:dyDescent="0.3">
      <c r="A84" s="1"/>
      <c r="B84" s="8" t="s">
        <v>191</v>
      </c>
      <c r="C84" s="8" t="s">
        <v>7</v>
      </c>
      <c r="D84" s="9" t="e">
        <f>VLOOKUP(B84,'Nutrition Plan'!$D$65:$F$75,3,0)</f>
        <v>#N/A</v>
      </c>
      <c r="E84" s="10" t="e">
        <f>D84/(113/15)</f>
        <v>#N/A</v>
      </c>
      <c r="F84" s="11" t="e">
        <f>D84/(113/5)</f>
        <v>#N/A</v>
      </c>
      <c r="G84" s="10">
        <f t="shared" ref="G84:G85" si="24">0</f>
        <v>0</v>
      </c>
      <c r="H84" s="12" t="e">
        <f t="shared" si="22"/>
        <v>#N/A</v>
      </c>
      <c r="I84" s="1"/>
    </row>
    <row r="85" spans="1:9" ht="15.75" customHeight="1" thickTop="1" thickBot="1" x14ac:dyDescent="0.3">
      <c r="A85" s="1"/>
      <c r="B85" s="8" t="s">
        <v>192</v>
      </c>
      <c r="C85" s="8" t="s">
        <v>7</v>
      </c>
      <c r="D85" s="9" t="e">
        <f>VLOOKUP(B85,'Nutrition Plan'!$D$65:$F$75,3,0)</f>
        <v>#N/A</v>
      </c>
      <c r="E85" s="10" t="e">
        <f>D85/(100/26.15)</f>
        <v>#N/A</v>
      </c>
      <c r="F85" s="11" t="e">
        <f>D85/(100/2.65)</f>
        <v>#N/A</v>
      </c>
      <c r="G85" s="10">
        <f t="shared" si="24"/>
        <v>0</v>
      </c>
      <c r="H85" s="12" t="e">
        <f t="shared" si="22"/>
        <v>#N/A</v>
      </c>
      <c r="I85" s="1"/>
    </row>
    <row r="86" spans="1:9" ht="15.75" customHeight="1" thickTop="1" thickBot="1" x14ac:dyDescent="0.3">
      <c r="A86" s="1"/>
      <c r="B86" s="8" t="s">
        <v>109</v>
      </c>
      <c r="C86" s="8" t="s">
        <v>7</v>
      </c>
      <c r="D86" s="9" t="e">
        <f>VLOOKUP(B86,'Nutrition Plan'!$D$65:$F$75,3,0)</f>
        <v>#N/A</v>
      </c>
      <c r="E86" s="10" t="e">
        <f>D86/(56/13)</f>
        <v>#N/A</v>
      </c>
      <c r="F86" s="11">
        <f t="shared" ref="F86:G90" si="25">0</f>
        <v>0</v>
      </c>
      <c r="G86" s="10">
        <f t="shared" si="25"/>
        <v>0</v>
      </c>
      <c r="H86" s="12" t="e">
        <f t="shared" si="22"/>
        <v>#N/A</v>
      </c>
      <c r="I86" s="1"/>
    </row>
    <row r="87" spans="1:9" ht="15.75" customHeight="1" thickTop="1" thickBot="1" x14ac:dyDescent="0.3">
      <c r="A87" s="1"/>
      <c r="B87" s="8" t="s">
        <v>110</v>
      </c>
      <c r="C87" s="8" t="s">
        <v>7</v>
      </c>
      <c r="D87" s="9" t="e">
        <f>VLOOKUP(B87,'Nutrition Plan'!$D$65:$F$75,3,0)</f>
        <v>#N/A</v>
      </c>
      <c r="E87" s="10" t="e">
        <f>D87/(56/11)</f>
        <v>#N/A</v>
      </c>
      <c r="F87" s="11">
        <f t="shared" si="25"/>
        <v>0</v>
      </c>
      <c r="G87" s="10">
        <f t="shared" si="25"/>
        <v>0</v>
      </c>
      <c r="H87" s="12" t="e">
        <f t="shared" si="22"/>
        <v>#N/A</v>
      </c>
      <c r="I87" s="1"/>
    </row>
    <row r="88" spans="1:9" ht="15.75" customHeight="1" thickTop="1" thickBot="1" x14ac:dyDescent="0.3">
      <c r="A88" s="1"/>
      <c r="B88" s="8" t="s">
        <v>111</v>
      </c>
      <c r="C88" s="8" t="s">
        <v>7</v>
      </c>
      <c r="D88" s="9" t="e">
        <f>VLOOKUP(B88,'Nutrition Plan'!$D$65:$F$75,3,0)</f>
        <v>#N/A</v>
      </c>
      <c r="E88" s="10" t="e">
        <f>D88/(56/13)</f>
        <v>#N/A</v>
      </c>
      <c r="F88" s="11">
        <f t="shared" si="25"/>
        <v>0</v>
      </c>
      <c r="G88" s="10">
        <f t="shared" si="25"/>
        <v>0</v>
      </c>
      <c r="H88" s="12" t="e">
        <f t="shared" si="22"/>
        <v>#N/A</v>
      </c>
      <c r="I88" s="1"/>
    </row>
    <row r="89" spans="1:9" ht="15.75" customHeight="1" thickTop="1" thickBot="1" x14ac:dyDescent="0.3">
      <c r="A89" s="1"/>
      <c r="B89" s="8" t="s">
        <v>193</v>
      </c>
      <c r="C89" s="8" t="s">
        <v>7</v>
      </c>
      <c r="D89" s="9" t="e">
        <f>VLOOKUP(B89,'Nutrition Plan'!$D$65:$F$75,3,0)</f>
        <v>#N/A</v>
      </c>
      <c r="E89" s="10" t="e">
        <f>D89/(85/25.5)</f>
        <v>#N/A</v>
      </c>
      <c r="F89" s="11" t="e">
        <f>D89/(85/1)</f>
        <v>#N/A</v>
      </c>
      <c r="G89" s="10">
        <f t="shared" si="25"/>
        <v>0</v>
      </c>
      <c r="H89" s="12" t="e">
        <f t="shared" si="22"/>
        <v>#N/A</v>
      </c>
      <c r="I89" s="1"/>
    </row>
    <row r="90" spans="1:9" ht="15.75" customHeight="1" thickTop="1" thickBot="1" x14ac:dyDescent="0.3">
      <c r="A90" s="1"/>
      <c r="B90" s="8" t="s">
        <v>194</v>
      </c>
      <c r="C90" s="8" t="s">
        <v>7</v>
      </c>
      <c r="D90" s="9" t="e">
        <f>VLOOKUP(B90,'Nutrition Plan'!$D$65:$F$75,3,0)</f>
        <v>#N/A</v>
      </c>
      <c r="E90" s="10" t="e">
        <f>D90/(100/25.45)</f>
        <v>#N/A</v>
      </c>
      <c r="F90" s="11" t="e">
        <f>D90/(100/8.62)</f>
        <v>#N/A</v>
      </c>
      <c r="G90" s="10">
        <f t="shared" si="25"/>
        <v>0</v>
      </c>
      <c r="H90" s="12" t="e">
        <f t="shared" si="22"/>
        <v>#N/A</v>
      </c>
      <c r="I90" s="1"/>
    </row>
    <row r="91" spans="1:9" ht="15.75" customHeight="1" thickTop="1" thickBot="1" x14ac:dyDescent="0.3">
      <c r="A91" s="1"/>
      <c r="B91" s="8" t="s">
        <v>195</v>
      </c>
      <c r="C91" s="8" t="s">
        <v>7</v>
      </c>
      <c r="D91" s="9" t="e">
        <f>VLOOKUP(B91,'Nutrition Plan'!$D$65:$F$75,3,0)</f>
        <v>#N/A</v>
      </c>
      <c r="E91" s="10" t="e">
        <f>D91/(28/8)</f>
        <v>#N/A</v>
      </c>
      <c r="F91" s="11" t="e">
        <f>D91/(28/1)</f>
        <v>#N/A</v>
      </c>
      <c r="G91" s="10">
        <v>0</v>
      </c>
      <c r="H91" s="12" t="e">
        <f t="shared" si="22"/>
        <v>#N/A</v>
      </c>
      <c r="I91" s="1"/>
    </row>
    <row r="92" spans="1:9" ht="15.75" customHeight="1" thickTop="1" thickBot="1" x14ac:dyDescent="0.3">
      <c r="A92" s="1"/>
      <c r="B92" s="8" t="s">
        <v>196</v>
      </c>
      <c r="C92" s="8" t="s">
        <v>7</v>
      </c>
      <c r="D92" s="9" t="e">
        <f>VLOOKUP(B92,'Nutrition Plan'!$D$65:$F$75,3,0)</f>
        <v>#N/A</v>
      </c>
      <c r="E92" s="10" t="e">
        <f>D92/(100/26.14)</f>
        <v>#N/A</v>
      </c>
      <c r="F92" s="11" t="e">
        <f>D92/(100/11.78)</f>
        <v>#N/A</v>
      </c>
      <c r="G92" s="10">
        <v>0</v>
      </c>
      <c r="H92" s="12" t="e">
        <f t="shared" si="22"/>
        <v>#N/A</v>
      </c>
      <c r="I92" s="1"/>
    </row>
    <row r="93" spans="1:9" ht="15.75" customHeight="1" thickTop="1" thickBot="1" x14ac:dyDescent="0.3">
      <c r="A93" s="1"/>
      <c r="B93" s="8" t="s">
        <v>197</v>
      </c>
      <c r="C93" s="8" t="s">
        <v>7</v>
      </c>
      <c r="D93" s="9" t="e">
        <f>VLOOKUP(B93,'Nutrition Plan'!$D$65:$F$75,3,0)</f>
        <v>#N/A</v>
      </c>
      <c r="E93" s="10" t="e">
        <f>D93/(100/28.88)</f>
        <v>#N/A</v>
      </c>
      <c r="F93" s="11" t="e">
        <f>D93/(100/9.51)</f>
        <v>#N/A</v>
      </c>
      <c r="G93" s="10">
        <v>0</v>
      </c>
      <c r="H93" s="12" t="e">
        <f t="shared" si="22"/>
        <v>#N/A</v>
      </c>
      <c r="I93" s="1"/>
    </row>
    <row r="94" spans="1:9" ht="15.75" customHeight="1" thickTop="1" thickBot="1" x14ac:dyDescent="0.3">
      <c r="A94" s="1"/>
      <c r="B94" s="8" t="s">
        <v>198</v>
      </c>
      <c r="C94" s="8" t="s">
        <v>7</v>
      </c>
      <c r="D94" s="9" t="e">
        <f>VLOOKUP(B94,'Nutrition Plan'!$D$65:$F$75,3,0)</f>
        <v>#N/A</v>
      </c>
      <c r="E94" s="10" t="e">
        <f>D94/(100/29.32)</f>
        <v>#N/A</v>
      </c>
      <c r="F94" s="11" t="e">
        <f>D94/(100/6.52)</f>
        <v>#N/A</v>
      </c>
      <c r="G94" s="10">
        <v>0</v>
      </c>
      <c r="H94" s="12" t="e">
        <f t="shared" si="22"/>
        <v>#N/A</v>
      </c>
      <c r="I94" s="1"/>
    </row>
    <row r="95" spans="1:9" ht="15.75" customHeight="1" thickTop="1" thickBot="1" x14ac:dyDescent="0.3">
      <c r="A95" s="1"/>
      <c r="B95" s="8" t="s">
        <v>199</v>
      </c>
      <c r="C95" s="8" t="s">
        <v>7</v>
      </c>
      <c r="D95" s="9" t="e">
        <f>VLOOKUP(B95,'Nutrition Plan'!$D$65:$F$75,3,0)</f>
        <v>#N/A</v>
      </c>
      <c r="E95" s="10" t="e">
        <f>D95/(84/23)</f>
        <v>#N/A</v>
      </c>
      <c r="F95" s="11" t="e">
        <f>D95/(84/1.5)</f>
        <v>#N/A</v>
      </c>
      <c r="G95" s="10">
        <f t="shared" ref="G95:G97" si="26">0</f>
        <v>0</v>
      </c>
      <c r="H95" s="12" t="e">
        <f t="shared" si="22"/>
        <v>#N/A</v>
      </c>
      <c r="I95" s="1"/>
    </row>
    <row r="96" spans="1:9" ht="15.75" customHeight="1" thickTop="1" thickBot="1" x14ac:dyDescent="0.3">
      <c r="A96" s="1"/>
      <c r="B96" s="8" t="s">
        <v>200</v>
      </c>
      <c r="C96" s="8" t="s">
        <v>7</v>
      </c>
      <c r="D96" s="9" t="e">
        <f>VLOOKUP(B96,'Nutrition Plan'!$D$65:$F$75,3,0)</f>
        <v>#N/A</v>
      </c>
      <c r="E96" s="10" t="e">
        <f>D96/(94/26)</f>
        <v>#N/A</v>
      </c>
      <c r="F96" s="11" t="e">
        <f>D96/(94/1)</f>
        <v>#N/A</v>
      </c>
      <c r="G96" s="10">
        <f t="shared" si="26"/>
        <v>0</v>
      </c>
      <c r="H96" s="12" t="e">
        <f t="shared" si="22"/>
        <v>#N/A</v>
      </c>
      <c r="I96" s="1"/>
    </row>
    <row r="97" spans="1:9" ht="15.75" customHeight="1" thickTop="1" thickBot="1" x14ac:dyDescent="0.3">
      <c r="A97" s="1"/>
      <c r="B97" s="8" t="s">
        <v>201</v>
      </c>
      <c r="C97" s="8" t="s">
        <v>7</v>
      </c>
      <c r="D97" s="9" t="e">
        <f>VLOOKUP(B97,'Nutrition Plan'!$D$65:$F$75,3,0)</f>
        <v>#N/A</v>
      </c>
      <c r="E97" s="10" t="e">
        <f>D97/(100/31)</f>
        <v>#N/A</v>
      </c>
      <c r="F97" s="11" t="e">
        <f>D97/(100/3.8)</f>
        <v>#N/A</v>
      </c>
      <c r="G97" s="10">
        <f t="shared" si="26"/>
        <v>0</v>
      </c>
      <c r="H97" s="12" t="e">
        <f t="shared" si="22"/>
        <v>#N/A</v>
      </c>
      <c r="I97" s="1"/>
    </row>
    <row r="98" spans="1:9" ht="15.75" customHeight="1" thickTop="1" thickBot="1" x14ac:dyDescent="0.3">
      <c r="A98" s="1"/>
      <c r="B98" s="8" t="s">
        <v>202</v>
      </c>
      <c r="C98" s="8" t="s">
        <v>7</v>
      </c>
      <c r="D98" s="9" t="e">
        <f>VLOOKUP(B98,'Nutrition Plan'!$D$65:$F$75,3,0)</f>
        <v>#N/A</v>
      </c>
      <c r="E98" s="10" t="e">
        <f>D98/(28/6.57)</f>
        <v>#N/A</v>
      </c>
      <c r="F98" s="11" t="e">
        <f>D98/(28/3.14)</f>
        <v>#N/A</v>
      </c>
      <c r="G98" s="10">
        <v>0</v>
      </c>
      <c r="H98" s="12" t="e">
        <f t="shared" si="22"/>
        <v>#N/A</v>
      </c>
      <c r="I98" s="1"/>
    </row>
    <row r="99" spans="1:9" ht="15.75" customHeight="1" thickTop="1" thickBot="1" x14ac:dyDescent="0.3">
      <c r="A99" s="1"/>
      <c r="B99" s="8" t="s">
        <v>112</v>
      </c>
      <c r="C99" s="8" t="s">
        <v>22</v>
      </c>
      <c r="D99" s="9" t="e">
        <f>VLOOKUP(B99,'Nutrition Plan'!$D$65:$F$75,3,0)</f>
        <v>#N/A</v>
      </c>
      <c r="E99" s="10" t="e">
        <f>D99/(28/6)</f>
        <v>#N/A</v>
      </c>
      <c r="F99" s="11" t="e">
        <f>D99/(28/1.5)</f>
        <v>#N/A</v>
      </c>
      <c r="G99" s="10" t="e">
        <f>D99/(28/1)</f>
        <v>#N/A</v>
      </c>
      <c r="H99" s="12" t="e">
        <f t="shared" si="22"/>
        <v>#N/A</v>
      </c>
      <c r="I99" s="1"/>
    </row>
    <row r="100" spans="1:9" ht="15.75" customHeight="1" thickTop="1" thickBot="1" x14ac:dyDescent="0.3">
      <c r="A100" s="1"/>
      <c r="B100" s="8" t="s">
        <v>113</v>
      </c>
      <c r="C100" s="8" t="s">
        <v>114</v>
      </c>
      <c r="D100" s="9" t="e">
        <f>VLOOKUP(B100,'Nutrition Plan'!$D$65:$F$75,3,0)</f>
        <v>#N/A</v>
      </c>
      <c r="E100" s="10" t="e">
        <f>D100/(1/21)</f>
        <v>#N/A</v>
      </c>
      <c r="F100" s="11" t="e">
        <f t="shared" ref="F100:F101" si="27">D100/(1/9)</f>
        <v>#N/A</v>
      </c>
      <c r="G100" s="10">
        <f t="shared" ref="G100:G101" si="28">0</f>
        <v>0</v>
      </c>
      <c r="H100" s="12" t="e">
        <f t="shared" si="22"/>
        <v>#N/A</v>
      </c>
      <c r="I100" s="1"/>
    </row>
    <row r="101" spans="1:9" ht="15.75" customHeight="1" thickTop="1" thickBot="1" x14ac:dyDescent="0.3">
      <c r="A101" s="1"/>
      <c r="B101" s="8" t="s">
        <v>115</v>
      </c>
      <c r="C101" s="8" t="s">
        <v>114</v>
      </c>
      <c r="D101" s="9" t="e">
        <f>VLOOKUP(B101,'Nutrition Plan'!$D$65:$F$75,3,0)</f>
        <v>#N/A</v>
      </c>
      <c r="E101" s="10" t="e">
        <f>D101/(1/20)</f>
        <v>#N/A</v>
      </c>
      <c r="F101" s="11" t="e">
        <f t="shared" si="27"/>
        <v>#N/A</v>
      </c>
      <c r="G101" s="10">
        <f t="shared" si="28"/>
        <v>0</v>
      </c>
      <c r="H101" s="12" t="e">
        <f t="shared" si="22"/>
        <v>#N/A</v>
      </c>
      <c r="I101" s="1"/>
    </row>
    <row r="102" spans="1:9" ht="15.75" customHeight="1" thickTop="1" thickBot="1" x14ac:dyDescent="0.3">
      <c r="A102" s="1"/>
      <c r="B102" s="8" t="s">
        <v>116</v>
      </c>
      <c r="C102" s="8" t="s">
        <v>7</v>
      </c>
      <c r="D102" s="9" t="e">
        <f>VLOOKUP(B102,'Nutrition Plan'!$D$65:$F$75,3,0)</f>
        <v>#N/A</v>
      </c>
      <c r="E102" s="10" t="e">
        <f>D102/(28/6)</f>
        <v>#N/A</v>
      </c>
      <c r="F102" s="11" t="e">
        <f>D102/(28/1.5)</f>
        <v>#N/A</v>
      </c>
      <c r="G102" s="10">
        <v>0</v>
      </c>
      <c r="H102" s="12" t="e">
        <f t="shared" si="22"/>
        <v>#N/A</v>
      </c>
      <c r="I102" s="1"/>
    </row>
    <row r="103" spans="1:9" ht="15.75" customHeight="1" thickTop="1" thickBot="1" x14ac:dyDescent="0.3">
      <c r="A103" s="1"/>
      <c r="B103" s="8" t="s">
        <v>117</v>
      </c>
      <c r="C103" s="8" t="s">
        <v>7</v>
      </c>
      <c r="D103" s="9" t="e">
        <f>VLOOKUP(B103,'Nutrition Plan'!$D$65:$F$75,3,0)</f>
        <v>#N/A</v>
      </c>
      <c r="E103" s="10" t="e">
        <f>D103/(28/5.28)</f>
        <v>#N/A</v>
      </c>
      <c r="F103" s="11" t="e">
        <f>D103/(28/2.13)</f>
        <v>#N/A</v>
      </c>
      <c r="G103" s="10">
        <v>0</v>
      </c>
      <c r="H103" s="12" t="e">
        <f t="shared" si="22"/>
        <v>#N/A</v>
      </c>
      <c r="I103" s="1"/>
    </row>
    <row r="104" spans="1:9" ht="15.75" customHeight="1" thickTop="1" thickBot="1" x14ac:dyDescent="0.3">
      <c r="A104" s="1"/>
      <c r="B104" s="8" t="s">
        <v>203</v>
      </c>
      <c r="C104" s="8" t="s">
        <v>7</v>
      </c>
      <c r="D104" s="9" t="e">
        <f>VLOOKUP(B104,'Nutrition Plan'!$D$65:$F$75,3,0)</f>
        <v>#N/A</v>
      </c>
      <c r="E104" s="10" t="e">
        <f t="shared" ref="E104:E105" si="29">D104/(28/8)</f>
        <v>#N/A</v>
      </c>
      <c r="F104" s="11" t="e">
        <f t="shared" ref="F104:F105" si="30">D104/(28/3)</f>
        <v>#N/A</v>
      </c>
      <c r="G104" s="10">
        <v>0</v>
      </c>
      <c r="H104" s="12" t="e">
        <f t="shared" si="22"/>
        <v>#N/A</v>
      </c>
      <c r="I104" s="1"/>
    </row>
    <row r="105" spans="1:9" ht="15.75" customHeight="1" thickTop="1" thickBot="1" x14ac:dyDescent="0.3">
      <c r="A105" s="1"/>
      <c r="B105" s="8" t="s">
        <v>204</v>
      </c>
      <c r="C105" s="8" t="s">
        <v>7</v>
      </c>
      <c r="D105" s="9" t="e">
        <f>VLOOKUP(B105,'Nutrition Plan'!$D$65:$F$75,3,0)</f>
        <v>#N/A</v>
      </c>
      <c r="E105" s="10" t="e">
        <f t="shared" si="29"/>
        <v>#N/A</v>
      </c>
      <c r="F105" s="11" t="e">
        <f t="shared" si="30"/>
        <v>#N/A</v>
      </c>
      <c r="G105" s="10">
        <v>0</v>
      </c>
      <c r="H105" s="12" t="e">
        <f t="shared" si="22"/>
        <v>#N/A</v>
      </c>
      <c r="I105" s="1"/>
    </row>
    <row r="106" spans="1:9" ht="15.75" customHeight="1" thickTop="1" thickBot="1" x14ac:dyDescent="0.3">
      <c r="A106" s="1"/>
      <c r="B106" s="8" t="s">
        <v>205</v>
      </c>
      <c r="C106" s="8" t="s">
        <v>7</v>
      </c>
      <c r="D106" s="9" t="e">
        <f>VLOOKUP(B106,'Nutrition Plan'!$D$65:$F$75,3,0)</f>
        <v>#N/A</v>
      </c>
      <c r="E106" s="10" t="e">
        <f>D106/(100/22.7)</f>
        <v>#N/A</v>
      </c>
      <c r="F106" s="11" t="e">
        <f>D106/(100/3.8)</f>
        <v>#N/A</v>
      </c>
      <c r="G106" s="10">
        <f t="shared" ref="G106:G108" si="31">0</f>
        <v>0</v>
      </c>
      <c r="H106" s="12" t="e">
        <f t="shared" si="22"/>
        <v>#N/A</v>
      </c>
      <c r="I106" s="1"/>
    </row>
    <row r="107" spans="1:9" ht="15.75" customHeight="1" thickTop="1" thickBot="1" x14ac:dyDescent="0.3">
      <c r="A107" s="1"/>
      <c r="B107" s="8" t="s">
        <v>206</v>
      </c>
      <c r="C107" s="8" t="s">
        <v>7</v>
      </c>
      <c r="D107" s="9" t="e">
        <f>VLOOKUP(B107,'Nutrition Plan'!$D$65:$F$75,3,0)</f>
        <v>#N/A</v>
      </c>
      <c r="E107" s="10" t="e">
        <f>D107/(100/30.24)</f>
        <v>#N/A</v>
      </c>
      <c r="F107" s="11" t="e">
        <f>D107/(100/4.11)</f>
        <v>#N/A</v>
      </c>
      <c r="G107" s="10">
        <f t="shared" si="31"/>
        <v>0</v>
      </c>
      <c r="H107" s="12" t="e">
        <f t="shared" si="22"/>
        <v>#N/A</v>
      </c>
      <c r="I107" s="1"/>
    </row>
    <row r="108" spans="1:9" ht="15.75" customHeight="1" thickTop="1" thickBot="1" x14ac:dyDescent="0.3">
      <c r="A108" s="1"/>
      <c r="B108" s="8" t="s">
        <v>207</v>
      </c>
      <c r="C108" s="8" t="s">
        <v>7</v>
      </c>
      <c r="D108" s="9" t="e">
        <f>VLOOKUP(B108,'Nutrition Plan'!$D$65:$F$75,3,0)</f>
        <v>#N/A</v>
      </c>
      <c r="E108" s="10" t="e">
        <f>D108/(100/30.7)</f>
        <v>#N/A</v>
      </c>
      <c r="F108" s="11" t="e">
        <f>D108/(100/10.27)</f>
        <v>#N/A</v>
      </c>
      <c r="G108" s="10">
        <f t="shared" si="31"/>
        <v>0</v>
      </c>
      <c r="H108" s="12" t="e">
        <f t="shared" si="22"/>
        <v>#N/A</v>
      </c>
      <c r="I108" s="1"/>
    </row>
    <row r="109" spans="1:9" ht="15.75" customHeight="1" thickTop="1" x14ac:dyDescent="0.3">
      <c r="A109" s="1"/>
      <c r="B109" s="173" t="s">
        <v>36</v>
      </c>
      <c r="C109" s="174"/>
      <c r="D109" s="174"/>
      <c r="E109" s="174"/>
      <c r="F109" s="174"/>
      <c r="G109" s="174"/>
      <c r="H109" s="134"/>
      <c r="I109" s="1"/>
    </row>
    <row r="110" spans="1:9" ht="15.75" customHeight="1" thickBot="1" x14ac:dyDescent="0.3">
      <c r="A110" s="1"/>
      <c r="B110" s="8" t="s">
        <v>118</v>
      </c>
      <c r="C110" s="8" t="s">
        <v>7</v>
      </c>
      <c r="D110" s="9" t="e">
        <f>VLOOKUP(B110,'Nutrition Plan'!$D$65:$F$75,3,0)</f>
        <v>#N/A</v>
      </c>
      <c r="E110" s="10" t="e">
        <f>D110/(32.5/25)</f>
        <v>#N/A</v>
      </c>
      <c r="F110" s="11" t="e">
        <f>D110/(32.5/1)</f>
        <v>#N/A</v>
      </c>
      <c r="G110" s="10" t="e">
        <f>D110/(32.5/3)</f>
        <v>#N/A</v>
      </c>
      <c r="H110" s="12" t="e">
        <f t="shared" ref="H110:H131" si="32">(E110*4)+(F110*9)+(G110*4)</f>
        <v>#N/A</v>
      </c>
      <c r="I110" s="1"/>
    </row>
    <row r="111" spans="1:9" ht="15.75" customHeight="1" thickTop="1" thickBot="1" x14ac:dyDescent="0.3">
      <c r="A111" s="1"/>
      <c r="B111" s="8" t="s">
        <v>119</v>
      </c>
      <c r="C111" s="8" t="s">
        <v>7</v>
      </c>
      <c r="D111" s="9" t="e">
        <f>VLOOKUP(B111,'Nutrition Plan'!$D$65:$F$75,3,0)</f>
        <v>#N/A</v>
      </c>
      <c r="E111" s="10" t="e">
        <f>D111/(32/25)</f>
        <v>#N/A</v>
      </c>
      <c r="F111" s="11" t="e">
        <f>D111/(32/1.5)</f>
        <v>#N/A</v>
      </c>
      <c r="G111" s="10" t="e">
        <f>D111/(32/3)</f>
        <v>#N/A</v>
      </c>
      <c r="H111" s="12" t="e">
        <f t="shared" si="32"/>
        <v>#N/A</v>
      </c>
      <c r="I111" s="1"/>
    </row>
    <row r="112" spans="1:9" ht="15.75" customHeight="1" thickTop="1" thickBot="1" x14ac:dyDescent="0.3">
      <c r="A112" s="1"/>
      <c r="B112" s="8" t="s">
        <v>120</v>
      </c>
      <c r="C112" s="8" t="s">
        <v>7</v>
      </c>
      <c r="D112" s="9" t="e">
        <f>VLOOKUP(B112,'Nutrition Plan'!$D$65:$F$75,3,0)</f>
        <v>#N/A</v>
      </c>
      <c r="E112" s="10" t="e">
        <f>D112/(36/25)</f>
        <v>#N/A</v>
      </c>
      <c r="F112" s="11" t="e">
        <f>D112/(36/1.5)</f>
        <v>#N/A</v>
      </c>
      <c r="G112" s="10" t="e">
        <f>D112/(36/3)</f>
        <v>#N/A</v>
      </c>
      <c r="H112" s="12" t="e">
        <f t="shared" si="32"/>
        <v>#N/A</v>
      </c>
      <c r="I112" s="1"/>
    </row>
    <row r="113" spans="1:9" ht="15.75" customHeight="1" thickTop="1" thickBot="1" x14ac:dyDescent="0.3">
      <c r="A113" s="1"/>
      <c r="B113" s="8" t="s">
        <v>121</v>
      </c>
      <c r="C113" s="8" t="s">
        <v>7</v>
      </c>
      <c r="D113" s="9" t="e">
        <f>VLOOKUP(B113,'Nutrition Plan'!$D$65:$F$75,3,0)</f>
        <v>#N/A</v>
      </c>
      <c r="E113" s="10" t="e">
        <f t="shared" ref="E113:E114" si="33">D113/(33/25)</f>
        <v>#N/A</v>
      </c>
      <c r="F113" s="11" t="e">
        <f t="shared" ref="F113:F114" si="34">D113/(33/1.5)</f>
        <v>#N/A</v>
      </c>
      <c r="G113" s="10" t="e">
        <f t="shared" ref="G113:G114" si="35">D113/(33/3)</f>
        <v>#N/A</v>
      </c>
      <c r="H113" s="12" t="e">
        <f t="shared" si="32"/>
        <v>#N/A</v>
      </c>
      <c r="I113" s="1"/>
    </row>
    <row r="114" spans="1:9" ht="15.75" customHeight="1" thickTop="1" thickBot="1" x14ac:dyDescent="0.3">
      <c r="A114" s="1"/>
      <c r="B114" s="8" t="s">
        <v>122</v>
      </c>
      <c r="C114" s="8" t="s">
        <v>7</v>
      </c>
      <c r="D114" s="9" t="e">
        <f>VLOOKUP(B114,'Nutrition Plan'!$D$65:$F$75,3,0)</f>
        <v>#N/A</v>
      </c>
      <c r="E114" s="10" t="e">
        <f t="shared" si="33"/>
        <v>#N/A</v>
      </c>
      <c r="F114" s="11" t="e">
        <f t="shared" si="34"/>
        <v>#N/A</v>
      </c>
      <c r="G114" s="10" t="e">
        <f t="shared" si="35"/>
        <v>#N/A</v>
      </c>
      <c r="H114" s="12" t="e">
        <f t="shared" si="32"/>
        <v>#N/A</v>
      </c>
      <c r="I114" s="1"/>
    </row>
    <row r="115" spans="1:9" ht="15.75" customHeight="1" thickTop="1" thickBot="1" x14ac:dyDescent="0.3">
      <c r="A115" s="1"/>
      <c r="B115" s="8" t="s">
        <v>123</v>
      </c>
      <c r="C115" s="8" t="s">
        <v>7</v>
      </c>
      <c r="D115" s="9" t="e">
        <f>VLOOKUP(B115,'Nutrition Plan'!$D$65:$F$75,3,0)</f>
        <v>#N/A</v>
      </c>
      <c r="E115" s="10" t="e">
        <f>D115/(36/25)</f>
        <v>#N/A</v>
      </c>
      <c r="F115" s="11" t="e">
        <f>D115/(36/1.5)</f>
        <v>#N/A</v>
      </c>
      <c r="G115" s="10" t="e">
        <f>D115/(36/5)</f>
        <v>#N/A</v>
      </c>
      <c r="H115" s="12" t="e">
        <f t="shared" si="32"/>
        <v>#N/A</v>
      </c>
      <c r="I115" s="1"/>
    </row>
    <row r="116" spans="1:9" ht="15.75" customHeight="1" thickTop="1" thickBot="1" x14ac:dyDescent="0.3">
      <c r="A116" s="1"/>
      <c r="B116" s="8" t="s">
        <v>124</v>
      </c>
      <c r="C116" s="8" t="s">
        <v>7</v>
      </c>
      <c r="D116" s="9" t="e">
        <f>VLOOKUP(B116,'Nutrition Plan'!$D$65:$F$75,3,0)</f>
        <v>#N/A</v>
      </c>
      <c r="E116" s="10" t="e">
        <f>D116/(29/25)</f>
        <v>#N/A</v>
      </c>
      <c r="F116" s="11">
        <f>0</f>
        <v>0</v>
      </c>
      <c r="G116" s="10" t="e">
        <f>D116/(29/1)</f>
        <v>#N/A</v>
      </c>
      <c r="H116" s="12" t="e">
        <f t="shared" si="32"/>
        <v>#N/A</v>
      </c>
      <c r="I116" s="1"/>
    </row>
    <row r="117" spans="1:9" ht="15.75" customHeight="1" thickTop="1" thickBot="1" x14ac:dyDescent="0.3">
      <c r="A117" s="1"/>
      <c r="B117" s="8" t="s">
        <v>125</v>
      </c>
      <c r="C117" s="8" t="s">
        <v>7</v>
      </c>
      <c r="D117" s="9" t="e">
        <f>VLOOKUP(B117,'Nutrition Plan'!$D$65:$F$75,3,0)</f>
        <v>#N/A</v>
      </c>
      <c r="E117" s="10" t="e">
        <f>D117/(31/25)</f>
        <v>#N/A</v>
      </c>
      <c r="F117" s="11" t="e">
        <f>D117/(31/0.5)</f>
        <v>#N/A</v>
      </c>
      <c r="G117" s="10" t="e">
        <f>D117/(31/2)</f>
        <v>#N/A</v>
      </c>
      <c r="H117" s="12" t="e">
        <f t="shared" si="32"/>
        <v>#N/A</v>
      </c>
      <c r="I117" s="1"/>
    </row>
    <row r="118" spans="1:9" ht="15.75" customHeight="1" thickTop="1" thickBot="1" x14ac:dyDescent="0.3">
      <c r="A118" s="1"/>
      <c r="B118" s="8" t="s">
        <v>126</v>
      </c>
      <c r="C118" s="8" t="s">
        <v>7</v>
      </c>
      <c r="D118" s="9" t="e">
        <f>VLOOKUP(B118,'Nutrition Plan'!$D$65:$F$75,3,0)</f>
        <v>#N/A</v>
      </c>
      <c r="E118" s="10" t="e">
        <f>D118/(30.1/25)</f>
        <v>#N/A</v>
      </c>
      <c r="F118" s="11">
        <f t="shared" ref="F118:F119" si="36">0</f>
        <v>0</v>
      </c>
      <c r="G118" s="10" t="e">
        <f>D118/(30.1/1)</f>
        <v>#N/A</v>
      </c>
      <c r="H118" s="12" t="e">
        <f t="shared" si="32"/>
        <v>#N/A</v>
      </c>
      <c r="I118" s="1"/>
    </row>
    <row r="119" spans="1:9" ht="15.75" customHeight="1" thickTop="1" thickBot="1" x14ac:dyDescent="0.3">
      <c r="A119" s="1"/>
      <c r="B119" s="8" t="s">
        <v>127</v>
      </c>
      <c r="C119" s="8" t="s">
        <v>7</v>
      </c>
      <c r="D119" s="9" t="e">
        <f>VLOOKUP(B119,'Nutrition Plan'!$D$65:$F$75,3,0)</f>
        <v>#N/A</v>
      </c>
      <c r="E119" s="10" t="e">
        <f>D119/(29/25)</f>
        <v>#N/A</v>
      </c>
      <c r="F119" s="11">
        <f t="shared" si="36"/>
        <v>0</v>
      </c>
      <c r="G119" s="10" t="e">
        <f>D119/(29/1)</f>
        <v>#N/A</v>
      </c>
      <c r="H119" s="12" t="e">
        <f t="shared" si="32"/>
        <v>#N/A</v>
      </c>
      <c r="I119" s="1"/>
    </row>
    <row r="120" spans="1:9" ht="15.75" customHeight="1" thickTop="1" thickBot="1" x14ac:dyDescent="0.3">
      <c r="A120" s="1"/>
      <c r="B120" s="8" t="s">
        <v>128</v>
      </c>
      <c r="C120" s="8" t="s">
        <v>7</v>
      </c>
      <c r="D120" s="9" t="e">
        <f>VLOOKUP(B120,'Nutrition Plan'!$D$65:$F$75,3,0)</f>
        <v>#N/A</v>
      </c>
      <c r="E120" s="10" t="e">
        <f>D120/(39.5/24)</f>
        <v>#N/A</v>
      </c>
      <c r="F120" s="11" t="e">
        <f>D120/(39.5/3.5)</f>
        <v>#N/A</v>
      </c>
      <c r="G120" s="10" t="e">
        <f>D120/(39.5/8)</f>
        <v>#N/A</v>
      </c>
      <c r="H120" s="12" t="e">
        <f t="shared" si="32"/>
        <v>#N/A</v>
      </c>
      <c r="I120" s="1"/>
    </row>
    <row r="121" spans="1:9" ht="15.75" customHeight="1" thickTop="1" thickBot="1" x14ac:dyDescent="0.3">
      <c r="A121" s="1"/>
      <c r="B121" s="8" t="s">
        <v>129</v>
      </c>
      <c r="C121" s="8" t="s">
        <v>7</v>
      </c>
      <c r="D121" s="9" t="e">
        <f>VLOOKUP(B121,'Nutrition Plan'!$D$65:$F$75,3,0)</f>
        <v>#N/A</v>
      </c>
      <c r="E121" s="10" t="e">
        <f>D121/(36.5/24)</f>
        <v>#N/A</v>
      </c>
      <c r="F121" s="11" t="e">
        <f>D121/(36.5/3.5)</f>
        <v>#N/A</v>
      </c>
      <c r="G121" s="10" t="e">
        <f>D121/(36.5/5)</f>
        <v>#N/A</v>
      </c>
      <c r="H121" s="12" t="e">
        <f t="shared" si="32"/>
        <v>#N/A</v>
      </c>
      <c r="I121" s="1"/>
    </row>
    <row r="122" spans="1:9" ht="15.75" customHeight="1" thickTop="1" thickBot="1" x14ac:dyDescent="0.3">
      <c r="A122" s="1"/>
      <c r="B122" s="8" t="s">
        <v>130</v>
      </c>
      <c r="C122" s="8" t="s">
        <v>7</v>
      </c>
      <c r="D122" s="9" t="e">
        <f>VLOOKUP(B122,'Nutrition Plan'!$D$65:$F$75,3,0)</f>
        <v>#N/A</v>
      </c>
      <c r="E122" s="10" t="e">
        <f>D122/(37.1/24)</f>
        <v>#N/A</v>
      </c>
      <c r="F122" s="11" t="e">
        <f>D122/(37.1/3.5)</f>
        <v>#N/A</v>
      </c>
      <c r="G122" s="10" t="e">
        <f>D122/(37.1/6)</f>
        <v>#N/A</v>
      </c>
      <c r="H122" s="12" t="e">
        <f t="shared" si="32"/>
        <v>#N/A</v>
      </c>
      <c r="I122" s="1"/>
    </row>
    <row r="123" spans="1:9" ht="15.75" customHeight="1" thickTop="1" thickBot="1" x14ac:dyDescent="0.3">
      <c r="A123" s="1"/>
      <c r="B123" s="8" t="s">
        <v>131</v>
      </c>
      <c r="C123" s="8" t="s">
        <v>7</v>
      </c>
      <c r="D123" s="9" t="e">
        <f>VLOOKUP(B123,'Nutrition Plan'!$D$65:$F$75,3,0)</f>
        <v>#N/A</v>
      </c>
      <c r="E123" s="10" t="e">
        <f>D123/(36.3/24)</f>
        <v>#N/A</v>
      </c>
      <c r="F123" s="11" t="e">
        <f>D123/(36.3/3.5)</f>
        <v>#N/A</v>
      </c>
      <c r="G123" s="10" t="e">
        <f>D123/(36.3/5)</f>
        <v>#N/A</v>
      </c>
      <c r="H123" s="12" t="e">
        <f t="shared" si="32"/>
        <v>#N/A</v>
      </c>
      <c r="I123" s="1"/>
    </row>
    <row r="124" spans="1:9" ht="15.75" customHeight="1" thickTop="1" thickBot="1" x14ac:dyDescent="0.3">
      <c r="A124" s="1"/>
      <c r="B124" s="8" t="s">
        <v>132</v>
      </c>
      <c r="C124" s="8" t="s">
        <v>7</v>
      </c>
      <c r="D124" s="9" t="e">
        <f>VLOOKUP(B124,'Nutrition Plan'!$D$65:$F$75,3,0)</f>
        <v>#N/A</v>
      </c>
      <c r="E124" s="10" t="e">
        <f>D124/(23/20)</f>
        <v>#N/A</v>
      </c>
      <c r="F124" s="11" t="e">
        <f>D124/(23/0.56)</f>
        <v>#N/A</v>
      </c>
      <c r="G124" s="10">
        <f>0</f>
        <v>0</v>
      </c>
      <c r="H124" s="12" t="e">
        <f t="shared" si="32"/>
        <v>#N/A</v>
      </c>
      <c r="I124" s="1"/>
    </row>
    <row r="125" spans="1:9" ht="15.75" customHeight="1" thickTop="1" thickBot="1" x14ac:dyDescent="0.3">
      <c r="A125" s="1"/>
      <c r="B125" s="8" t="s">
        <v>133</v>
      </c>
      <c r="C125" s="8" t="s">
        <v>134</v>
      </c>
      <c r="D125" s="9" t="e">
        <f>VLOOKUP(B125,'Nutrition Plan'!$D$65:$F$75,3,0)</f>
        <v>#N/A</v>
      </c>
      <c r="E125" s="10" t="e">
        <f>D125/(1/23)</f>
        <v>#N/A</v>
      </c>
      <c r="F125" s="11" t="e">
        <f>D125/(1/8)</f>
        <v>#N/A</v>
      </c>
      <c r="G125" s="10" t="e">
        <f>D125/(1/21)</f>
        <v>#N/A</v>
      </c>
      <c r="H125" s="12" t="e">
        <f t="shared" si="32"/>
        <v>#N/A</v>
      </c>
      <c r="I125" s="1"/>
    </row>
    <row r="126" spans="1:9" ht="15.75" customHeight="1" thickTop="1" thickBot="1" x14ac:dyDescent="0.3">
      <c r="A126" s="1"/>
      <c r="B126" s="8" t="s">
        <v>135</v>
      </c>
      <c r="C126" s="8" t="s">
        <v>134</v>
      </c>
      <c r="D126" s="9" t="e">
        <f>VLOOKUP(B126,'Nutrition Plan'!$D$65:$F$75,3,0)</f>
        <v>#N/A</v>
      </c>
      <c r="E126" s="10" t="e">
        <f>D126/(1/13)</f>
        <v>#N/A</v>
      </c>
      <c r="F126" s="11" t="e">
        <f>D126/(1/12)</f>
        <v>#N/A</v>
      </c>
      <c r="G126" s="10" t="e">
        <f>D126/(1/10)</f>
        <v>#N/A</v>
      </c>
      <c r="H126" s="12" t="e">
        <f t="shared" si="32"/>
        <v>#N/A</v>
      </c>
      <c r="I126" s="1"/>
    </row>
    <row r="127" spans="1:9" ht="15.75" customHeight="1" thickTop="1" thickBot="1" x14ac:dyDescent="0.3">
      <c r="A127" s="1"/>
      <c r="B127" s="8" t="s">
        <v>136</v>
      </c>
      <c r="C127" s="8" t="s">
        <v>134</v>
      </c>
      <c r="D127" s="9" t="e">
        <f>VLOOKUP(B127,'Nutrition Plan'!$D$65:$F$75,3,0)</f>
        <v>#N/A</v>
      </c>
      <c r="E127" s="10" t="e">
        <f t="shared" ref="E127:E128" si="37">D127/(1/21)</f>
        <v>#N/A</v>
      </c>
      <c r="F127" s="11" t="e">
        <f>D127/(1/8)</f>
        <v>#N/A</v>
      </c>
      <c r="G127" s="10" t="e">
        <f t="shared" ref="G127:G128" si="38">D127/(1/5)</f>
        <v>#N/A</v>
      </c>
      <c r="H127" s="12" t="e">
        <f t="shared" si="32"/>
        <v>#N/A</v>
      </c>
      <c r="I127" s="1"/>
    </row>
    <row r="128" spans="1:9" ht="15.75" customHeight="1" thickTop="1" thickBot="1" x14ac:dyDescent="0.3">
      <c r="A128" s="1"/>
      <c r="B128" s="8" t="s">
        <v>137</v>
      </c>
      <c r="C128" s="8" t="s">
        <v>134</v>
      </c>
      <c r="D128" s="9" t="e">
        <f>VLOOKUP(B128,'Nutrition Plan'!$D$65:$F$75,3,0)</f>
        <v>#N/A</v>
      </c>
      <c r="E128" s="10" t="e">
        <f t="shared" si="37"/>
        <v>#N/A</v>
      </c>
      <c r="F128" s="11" t="e">
        <f>D128/(1/7)</f>
        <v>#N/A</v>
      </c>
      <c r="G128" s="10" t="e">
        <f t="shared" si="38"/>
        <v>#N/A</v>
      </c>
      <c r="H128" s="12" t="e">
        <f t="shared" si="32"/>
        <v>#N/A</v>
      </c>
      <c r="I128" s="1"/>
    </row>
    <row r="129" spans="1:9" ht="15.75" customHeight="1" thickTop="1" thickBot="1" x14ac:dyDescent="0.3">
      <c r="A129" s="1"/>
      <c r="B129" s="8" t="s">
        <v>138</v>
      </c>
      <c r="C129" s="8" t="s">
        <v>134</v>
      </c>
      <c r="D129" s="9" t="e">
        <f>VLOOKUP(B129,'Nutrition Plan'!$D$65:$F$75,3,0)</f>
        <v>#N/A</v>
      </c>
      <c r="E129" s="10" t="e">
        <f t="shared" ref="E129:E131" si="39">D129/(1/20)</f>
        <v>#N/A</v>
      </c>
      <c r="F129" s="11" t="e">
        <f>D129/(1/9)</f>
        <v>#N/A</v>
      </c>
      <c r="G129" s="10" t="e">
        <f>D129/(1/4)</f>
        <v>#N/A</v>
      </c>
      <c r="H129" s="12" t="e">
        <f t="shared" si="32"/>
        <v>#N/A</v>
      </c>
      <c r="I129" s="1"/>
    </row>
    <row r="130" spans="1:9" ht="15.75" customHeight="1" thickTop="1" thickBot="1" x14ac:dyDescent="0.3">
      <c r="A130" s="1"/>
      <c r="B130" s="8" t="s">
        <v>139</v>
      </c>
      <c r="C130" s="8" t="s">
        <v>134</v>
      </c>
      <c r="D130" s="9" t="e">
        <f>VLOOKUP(B130,'Nutrition Plan'!$D$65:$F$75,3,0)</f>
        <v>#N/A</v>
      </c>
      <c r="E130" s="10" t="e">
        <f t="shared" si="39"/>
        <v>#N/A</v>
      </c>
      <c r="F130" s="11" t="e">
        <f t="shared" ref="F130:F131" si="40">D130/(1/8)</f>
        <v>#N/A</v>
      </c>
      <c r="G130" s="10" t="e">
        <f t="shared" ref="G130:G131" si="41">D130/(1/22)</f>
        <v>#N/A</v>
      </c>
      <c r="H130" s="12" t="e">
        <f t="shared" si="32"/>
        <v>#N/A</v>
      </c>
      <c r="I130" s="1"/>
    </row>
    <row r="131" spans="1:9" ht="15.75" customHeight="1" thickTop="1" thickBot="1" x14ac:dyDescent="0.3">
      <c r="A131" s="1"/>
      <c r="B131" s="8" t="s">
        <v>140</v>
      </c>
      <c r="C131" s="8" t="s">
        <v>134</v>
      </c>
      <c r="D131" s="9" t="e">
        <f>VLOOKUP(B131,'Nutrition Plan'!$D$65:$F$75,3,0)</f>
        <v>#N/A</v>
      </c>
      <c r="E131" s="10" t="e">
        <f t="shared" si="39"/>
        <v>#N/A</v>
      </c>
      <c r="F131" s="11" t="e">
        <f t="shared" si="40"/>
        <v>#N/A</v>
      </c>
      <c r="G131" s="10" t="e">
        <f t="shared" si="41"/>
        <v>#N/A</v>
      </c>
      <c r="H131" s="12" t="e">
        <f t="shared" si="32"/>
        <v>#N/A</v>
      </c>
      <c r="I131" s="1"/>
    </row>
    <row r="132" spans="1:9" ht="15.75" customHeight="1" thickTop="1" x14ac:dyDescent="0.3">
      <c r="A132" s="1"/>
      <c r="B132" s="173" t="s">
        <v>37</v>
      </c>
      <c r="C132" s="174"/>
      <c r="D132" s="174"/>
      <c r="E132" s="174"/>
      <c r="F132" s="174"/>
      <c r="G132" s="174"/>
      <c r="H132" s="134"/>
      <c r="I132" s="1"/>
    </row>
    <row r="133" spans="1:9" ht="15.75" customHeight="1" thickBot="1" x14ac:dyDescent="0.3">
      <c r="A133" s="1"/>
      <c r="B133" s="8" t="s">
        <v>141</v>
      </c>
      <c r="C133" s="8" t="s">
        <v>7</v>
      </c>
      <c r="D133" s="9" t="e">
        <f>VLOOKUP(B133,'Nutrition Plan'!$D$65:$F$75,3,0)</f>
        <v>#N/A</v>
      </c>
      <c r="E133" s="10" t="e">
        <f>D133/(100/0.2)</f>
        <v>#N/A</v>
      </c>
      <c r="F133" s="11" t="e">
        <f>D133/(100/0.18)</f>
        <v>#N/A</v>
      </c>
      <c r="G133" s="10" t="e">
        <f>D133/(100/15.22)</f>
        <v>#N/A</v>
      </c>
      <c r="H133" s="12" t="e">
        <f t="shared" ref="H133:H159" si="42">(E133*4)+(F133*9)+(G133*4)</f>
        <v>#N/A</v>
      </c>
      <c r="I133" s="1"/>
    </row>
    <row r="134" spans="1:9" ht="15.75" customHeight="1" thickTop="1" thickBot="1" x14ac:dyDescent="0.3">
      <c r="A134" s="1"/>
      <c r="B134" s="8" t="s">
        <v>142</v>
      </c>
      <c r="C134" s="8" t="s">
        <v>7</v>
      </c>
      <c r="D134" s="9" t="e">
        <f>VLOOKUP(B134,'Nutrition Plan'!$D$65:$F$75,3,0)</f>
        <v>#N/A</v>
      </c>
      <c r="E134" s="10" t="e">
        <f>D134/(100/0.25)</f>
        <v>#N/A</v>
      </c>
      <c r="F134" s="11" t="e">
        <f>D134/(100/0.12)</f>
        <v>#N/A</v>
      </c>
      <c r="G134" s="10" t="e">
        <f>D134/(100/13.68)</f>
        <v>#N/A</v>
      </c>
      <c r="H134" s="12" t="e">
        <f t="shared" si="42"/>
        <v>#N/A</v>
      </c>
      <c r="I134" s="1"/>
    </row>
    <row r="135" spans="1:9" ht="15.75" customHeight="1" thickTop="1" thickBot="1" x14ac:dyDescent="0.3">
      <c r="A135" s="1"/>
      <c r="B135" s="8" t="s">
        <v>143</v>
      </c>
      <c r="C135" s="8" t="s">
        <v>7</v>
      </c>
      <c r="D135" s="9" t="e">
        <f>VLOOKUP(B135,'Nutrition Plan'!$D$65:$F$75,3,0)</f>
        <v>#N/A</v>
      </c>
      <c r="E135" s="10" t="e">
        <f>D135/(100/0.44)</f>
        <v>#N/A</v>
      </c>
      <c r="F135" s="11" t="e">
        <f>D135/(100/0.19)</f>
        <v>#N/A</v>
      </c>
      <c r="G135" s="10" t="e">
        <f>D135/(100/13.61)</f>
        <v>#N/A</v>
      </c>
      <c r="H135" s="12" t="e">
        <f t="shared" si="42"/>
        <v>#N/A</v>
      </c>
      <c r="I135" s="1"/>
    </row>
    <row r="136" spans="1:9" ht="15.75" customHeight="1" thickTop="1" thickBot="1" x14ac:dyDescent="0.3">
      <c r="A136" s="1"/>
      <c r="B136" s="8" t="s">
        <v>144</v>
      </c>
      <c r="C136" s="8" t="s">
        <v>7</v>
      </c>
      <c r="D136" s="9" t="e">
        <f>VLOOKUP(B136,'Nutrition Plan'!$D$65:$F$75,3,0)</f>
        <v>#N/A</v>
      </c>
      <c r="E136" s="10">
        <v>0</v>
      </c>
      <c r="F136" s="11">
        <v>0</v>
      </c>
      <c r="G136" s="10" t="e">
        <f>D136/(122/13)</f>
        <v>#N/A</v>
      </c>
      <c r="H136" s="12" t="e">
        <f t="shared" si="42"/>
        <v>#N/A</v>
      </c>
      <c r="I136" s="1"/>
    </row>
    <row r="137" spans="1:9" ht="15.75" customHeight="1" thickTop="1" thickBot="1" x14ac:dyDescent="0.3">
      <c r="A137" s="1"/>
      <c r="B137" s="8" t="s">
        <v>145</v>
      </c>
      <c r="C137" s="8" t="s">
        <v>7</v>
      </c>
      <c r="D137" s="9" t="e">
        <f>VLOOKUP(B137,'Nutrition Plan'!$D$65:$F$75,3,0)</f>
        <v>#N/A</v>
      </c>
      <c r="E137" s="10" t="e">
        <f>D137/(100/2)</f>
        <v>#N/A</v>
      </c>
      <c r="F137" s="11" t="e">
        <f>D137/(100/14.66)</f>
        <v>#N/A</v>
      </c>
      <c r="G137" s="10" t="e">
        <f>D137/(100/8.53)</f>
        <v>#N/A</v>
      </c>
      <c r="H137" s="12" t="e">
        <f t="shared" si="42"/>
        <v>#N/A</v>
      </c>
      <c r="I137" s="1"/>
    </row>
    <row r="138" spans="1:9" ht="15.75" customHeight="1" thickTop="1" thickBot="1" x14ac:dyDescent="0.3">
      <c r="A138" s="1"/>
      <c r="B138" s="8" t="s">
        <v>146</v>
      </c>
      <c r="C138" s="8" t="s">
        <v>7</v>
      </c>
      <c r="D138" s="9" t="e">
        <f>VLOOKUP(B138,'Nutrition Plan'!$D$65:$F$75,3,0)</f>
        <v>#N/A</v>
      </c>
      <c r="E138" s="10" t="e">
        <f>D138/(100/1.1)</f>
        <v>#N/A</v>
      </c>
      <c r="F138" s="11" t="e">
        <f t="shared" ref="F138:F139" si="43">D138/(100/0.33)</f>
        <v>#N/A</v>
      </c>
      <c r="G138" s="10" t="e">
        <f>D138/(100/22.84)</f>
        <v>#N/A</v>
      </c>
      <c r="H138" s="12" t="e">
        <f t="shared" si="42"/>
        <v>#N/A</v>
      </c>
      <c r="I138" s="1"/>
    </row>
    <row r="139" spans="1:9" ht="15.75" customHeight="1" thickTop="1" thickBot="1" x14ac:dyDescent="0.3">
      <c r="A139" s="1"/>
      <c r="B139" s="8" t="s">
        <v>147</v>
      </c>
      <c r="C139" s="8" t="s">
        <v>7</v>
      </c>
      <c r="D139" s="9" t="e">
        <f>VLOOKUP(B139,'Nutrition Plan'!$D$65:$F$75,3,0)</f>
        <v>#N/A</v>
      </c>
      <c r="E139" s="10" t="e">
        <f>D139/(100/0.74)</f>
        <v>#N/A</v>
      </c>
      <c r="F139" s="11" t="e">
        <f t="shared" si="43"/>
        <v>#N/A</v>
      </c>
      <c r="G139" s="10" t="e">
        <f>D139/(100/14.49)</f>
        <v>#N/A</v>
      </c>
      <c r="H139" s="12" t="e">
        <f t="shared" si="42"/>
        <v>#N/A</v>
      </c>
      <c r="I139" s="1"/>
    </row>
    <row r="140" spans="1:9" ht="15.75" customHeight="1" thickTop="1" thickBot="1" x14ac:dyDescent="0.3">
      <c r="A140" s="1"/>
      <c r="B140" s="8" t="s">
        <v>148</v>
      </c>
      <c r="C140" s="8" t="s">
        <v>7</v>
      </c>
      <c r="D140" s="9" t="e">
        <f>VLOOKUP(B140,'Nutrition Plan'!$D$65:$F$75,3,0)</f>
        <v>#N/A</v>
      </c>
      <c r="E140" s="10" t="e">
        <f>D140/(28/0.18)</f>
        <v>#N/A</v>
      </c>
      <c r="F140" s="11" t="e">
        <f>D140/(28/0.03)</f>
        <v>#N/A</v>
      </c>
      <c r="G140" s="10" t="e">
        <f>D140/(28/2.26)</f>
        <v>#N/A</v>
      </c>
      <c r="H140" s="12" t="e">
        <f t="shared" si="42"/>
        <v>#N/A</v>
      </c>
      <c r="I140" s="1"/>
    </row>
    <row r="141" spans="1:9" ht="15.75" customHeight="1" thickTop="1" thickBot="1" x14ac:dyDescent="0.3">
      <c r="A141" s="1"/>
      <c r="B141" s="8" t="s">
        <v>149</v>
      </c>
      <c r="C141" s="8" t="s">
        <v>7</v>
      </c>
      <c r="D141" s="9" t="e">
        <f>VLOOKUP(B141,'Nutrition Plan'!$D$65:$F$75,3,0)</f>
        <v>#N/A</v>
      </c>
      <c r="E141" s="10" t="e">
        <f>D141/(100/0.72)</f>
        <v>#N/A</v>
      </c>
      <c r="F141" s="11" t="e">
        <f>D141/(100/0.16)</f>
        <v>#N/A</v>
      </c>
      <c r="G141" s="10" t="e">
        <f>D141/(100/18.1)</f>
        <v>#N/A</v>
      </c>
      <c r="H141" s="12" t="e">
        <f t="shared" si="42"/>
        <v>#N/A</v>
      </c>
      <c r="I141" s="1"/>
    </row>
    <row r="142" spans="1:9" ht="15.75" customHeight="1" thickTop="1" thickBot="1" x14ac:dyDescent="0.3">
      <c r="A142" s="1"/>
      <c r="B142" s="8" t="s">
        <v>150</v>
      </c>
      <c r="C142" s="8" t="s">
        <v>7</v>
      </c>
      <c r="D142" s="9" t="e">
        <f>VLOOKUP(B142,'Nutrition Plan'!$D$65:$F$75,3,0)</f>
        <v>#N/A</v>
      </c>
      <c r="E142" s="10" t="e">
        <f>D142/(28/0.32)</f>
        <v>#N/A</v>
      </c>
      <c r="F142" s="11" t="e">
        <f>D142/(28/0.15)</f>
        <v>#N/A</v>
      </c>
      <c r="G142" s="10" t="e">
        <f>D142/(28/4.1)</f>
        <v>#N/A</v>
      </c>
      <c r="H142" s="12" t="e">
        <f t="shared" si="42"/>
        <v>#N/A</v>
      </c>
      <c r="I142" s="1"/>
    </row>
    <row r="143" spans="1:9" ht="15.75" customHeight="1" thickTop="1" thickBot="1" x14ac:dyDescent="0.3">
      <c r="A143" s="1"/>
      <c r="B143" s="8" t="s">
        <v>151</v>
      </c>
      <c r="C143" s="8" t="s">
        <v>7</v>
      </c>
      <c r="D143" s="9" t="e">
        <f>VLOOKUP(B143,'Nutrition Plan'!$D$65:$F$75,3,0)</f>
        <v>#N/A</v>
      </c>
      <c r="E143" s="10" t="e">
        <f>D143/(28/0.23)</f>
        <v>#N/A</v>
      </c>
      <c r="F143" s="11" t="e">
        <f>D143/(28/0.11)</f>
        <v>#N/A</v>
      </c>
      <c r="G143" s="10" t="e">
        <f>D143/(28/4.2)</f>
        <v>#N/A</v>
      </c>
      <c r="H143" s="12" t="e">
        <f t="shared" si="42"/>
        <v>#N/A</v>
      </c>
      <c r="I143" s="1"/>
    </row>
    <row r="144" spans="1:9" ht="15.75" customHeight="1" thickTop="1" thickBot="1" x14ac:dyDescent="0.3">
      <c r="A144" s="1"/>
      <c r="B144" s="8" t="s">
        <v>152</v>
      </c>
      <c r="C144" s="8" t="s">
        <v>7</v>
      </c>
      <c r="D144" s="9" t="e">
        <f>VLOOKUP(B144,'Nutrition Plan'!$D$65:$F$75,3,0)</f>
        <v>#N/A</v>
      </c>
      <c r="E144" s="10" t="e">
        <f>D144/(28/0.3)</f>
        <v>#N/A</v>
      </c>
      <c r="F144" s="11" t="e">
        <f>D144/(28/0.09)</f>
        <v>#N/A</v>
      </c>
      <c r="G144" s="10" t="e">
        <f>D144/(28/3)</f>
        <v>#N/A</v>
      </c>
      <c r="H144" s="12" t="e">
        <f t="shared" si="42"/>
        <v>#N/A</v>
      </c>
      <c r="I144" s="1"/>
    </row>
    <row r="145" spans="1:9" ht="15.75" customHeight="1" thickTop="1" thickBot="1" x14ac:dyDescent="0.3">
      <c r="A145" s="1"/>
      <c r="B145" s="8" t="s">
        <v>153</v>
      </c>
      <c r="C145" s="8" t="s">
        <v>7</v>
      </c>
      <c r="D145" s="9" t="e">
        <f>VLOOKUP(B145,'Nutrition Plan'!$D$65:$F$75,3,0)</f>
        <v>#N/A</v>
      </c>
      <c r="E145" s="10" t="e">
        <f>D145/(28/0.26)</f>
        <v>#N/A</v>
      </c>
      <c r="F145" s="11" t="e">
        <f>D145/(28/0.03)</f>
        <v>#N/A</v>
      </c>
      <c r="G145" s="10" t="e">
        <f>D145/(28/3.3)</f>
        <v>#N/A</v>
      </c>
      <c r="H145" s="12" t="e">
        <f t="shared" si="42"/>
        <v>#N/A</v>
      </c>
      <c r="I145" s="1"/>
    </row>
    <row r="146" spans="1:9" ht="15.75" customHeight="1" thickTop="1" thickBot="1" x14ac:dyDescent="0.3">
      <c r="A146" s="1"/>
      <c r="B146" s="8" t="s">
        <v>154</v>
      </c>
      <c r="C146" s="8" t="s">
        <v>7</v>
      </c>
      <c r="D146" s="9" t="e">
        <f>VLOOKUP(B146,'Nutrition Plan'!$D$65:$F$75,3,0)</f>
        <v>#N/A</v>
      </c>
      <c r="E146" s="10" t="e">
        <f>D146/(28/0.25)</f>
        <v>#N/A</v>
      </c>
      <c r="F146" s="11" t="e">
        <f>D146/(28/0.07)</f>
        <v>#N/A</v>
      </c>
      <c r="G146" s="10" t="e">
        <f>D146/(28/2.67)</f>
        <v>#N/A</v>
      </c>
      <c r="H146" s="12" t="e">
        <f t="shared" si="42"/>
        <v>#N/A</v>
      </c>
      <c r="I146" s="1"/>
    </row>
    <row r="147" spans="1:9" ht="15.75" customHeight="1" thickTop="1" thickBot="1" x14ac:dyDescent="0.3">
      <c r="A147" s="1"/>
      <c r="B147" s="8" t="s">
        <v>155</v>
      </c>
      <c r="C147" s="8" t="s">
        <v>7</v>
      </c>
      <c r="D147" s="9" t="e">
        <f>VLOOKUP(B147,'Nutrition Plan'!$D$65:$F$75,3,0)</f>
        <v>#N/A</v>
      </c>
      <c r="E147" s="10" t="e">
        <f>D147/(28/0.15)</f>
        <v>#N/A</v>
      </c>
      <c r="F147" s="11" t="e">
        <f>D147/(28/0.03)</f>
        <v>#N/A</v>
      </c>
      <c r="G147" s="10" t="e">
        <f>D147/(28/3.67)</f>
        <v>#N/A</v>
      </c>
      <c r="H147" s="12" t="e">
        <f t="shared" si="42"/>
        <v>#N/A</v>
      </c>
      <c r="I147" s="1"/>
    </row>
    <row r="148" spans="1:9" ht="15.75" customHeight="1" thickTop="1" thickBot="1" x14ac:dyDescent="0.3">
      <c r="A148" s="1"/>
      <c r="B148" s="8" t="s">
        <v>156</v>
      </c>
      <c r="C148" s="8" t="s">
        <v>7</v>
      </c>
      <c r="D148" s="9" t="e">
        <f>VLOOKUP(B148,'Nutrition Plan'!$D$65:$F$75,3,0)</f>
        <v>#N/A</v>
      </c>
      <c r="E148" s="10" t="e">
        <f>D148/(28/0.2)</f>
        <v>#N/A</v>
      </c>
      <c r="F148" s="11" t="e">
        <f>D148/(28/0.08)</f>
        <v>#N/A</v>
      </c>
      <c r="G148" s="10" t="e">
        <f>D148/(28/3.2)</f>
        <v>#N/A</v>
      </c>
      <c r="H148" s="12" t="e">
        <f t="shared" si="42"/>
        <v>#N/A</v>
      </c>
      <c r="I148" s="1"/>
    </row>
    <row r="149" spans="1:9" ht="15.75" customHeight="1" thickTop="1" thickBot="1" x14ac:dyDescent="0.3">
      <c r="A149" s="1"/>
      <c r="B149" s="8" t="s">
        <v>157</v>
      </c>
      <c r="C149" s="8" t="s">
        <v>7</v>
      </c>
      <c r="D149" s="9" t="e">
        <f>VLOOKUP(B149,'Nutrition Plan'!$D$65:$F$75,3,0)</f>
        <v>#N/A</v>
      </c>
      <c r="E149" s="10" t="e">
        <f>D149/(100/1.2)</f>
        <v>#N/A</v>
      </c>
      <c r="F149" s="11" t="e">
        <f>D149/(100/0.65)</f>
        <v>#N/A</v>
      </c>
      <c r="G149" s="10" t="e">
        <f>D149/(100/11.4)</f>
        <v>#N/A</v>
      </c>
      <c r="H149" s="12" t="e">
        <f t="shared" si="42"/>
        <v>#N/A</v>
      </c>
      <c r="I149" s="1"/>
    </row>
    <row r="150" spans="1:9" ht="15.75" customHeight="1" thickTop="1" thickBot="1" x14ac:dyDescent="0.3">
      <c r="A150" s="1"/>
      <c r="B150" s="8" t="s">
        <v>158</v>
      </c>
      <c r="C150" s="8" t="s">
        <v>7</v>
      </c>
      <c r="D150" s="9" t="e">
        <f>VLOOKUP(B150,'Nutrition Plan'!$D$65:$F$75,3,0)</f>
        <v>#N/A</v>
      </c>
      <c r="E150" s="10" t="e">
        <f>D150/(28/0.19)</f>
        <v>#N/A</v>
      </c>
      <c r="F150" s="11" t="e">
        <f>D150/(28/0.08)</f>
        <v>#N/A</v>
      </c>
      <c r="G150" s="10" t="e">
        <f>D150/(28/2.15)</f>
        <v>#N/A</v>
      </c>
      <c r="H150" s="12" t="e">
        <f t="shared" si="42"/>
        <v>#N/A</v>
      </c>
      <c r="I150" s="1"/>
    </row>
    <row r="151" spans="1:9" ht="15.75" customHeight="1" thickTop="1" thickBot="1" x14ac:dyDescent="0.3">
      <c r="A151" s="1"/>
      <c r="B151" s="8" t="s">
        <v>159</v>
      </c>
      <c r="C151" s="8" t="s">
        <v>7</v>
      </c>
      <c r="D151" s="9" t="e">
        <f>VLOOKUP(B151,'Nutrition Plan'!$D$65:$F$75,3,0)</f>
        <v>#N/A</v>
      </c>
      <c r="E151" s="10" t="e">
        <f>D151/(100/0.61)</f>
        <v>#N/A</v>
      </c>
      <c r="F151" s="11" t="e">
        <f>D151/(100/0.15)</f>
        <v>#N/A</v>
      </c>
      <c r="G151" s="10" t="e">
        <f>D151/(100/7.55)</f>
        <v>#N/A</v>
      </c>
      <c r="H151" s="12" t="e">
        <f t="shared" si="42"/>
        <v>#N/A</v>
      </c>
      <c r="I151" s="1"/>
    </row>
    <row r="152" spans="1:9" ht="15.75" customHeight="1" thickTop="1" thickBot="1" x14ac:dyDescent="0.3">
      <c r="A152" s="1"/>
      <c r="B152" s="8" t="s">
        <v>160</v>
      </c>
      <c r="C152" s="8" t="s">
        <v>7</v>
      </c>
      <c r="D152" s="9" t="e">
        <f>VLOOKUP(B152,'Nutrition Plan'!$D$65:$F$75,3,0)</f>
        <v>#N/A</v>
      </c>
      <c r="E152" s="10" t="e">
        <f>D152/(28/4)</f>
        <v>#N/A</v>
      </c>
      <c r="F152" s="11" t="e">
        <f>D152/(28/2.2)</f>
        <v>#N/A</v>
      </c>
      <c r="G152" s="10" t="e">
        <f>D152/(28/1)</f>
        <v>#N/A</v>
      </c>
      <c r="H152" s="12" t="e">
        <f t="shared" si="42"/>
        <v>#N/A</v>
      </c>
      <c r="I152" s="1"/>
    </row>
    <row r="153" spans="1:9" ht="15.75" customHeight="1" thickTop="1" thickBot="1" x14ac:dyDescent="0.3">
      <c r="A153" s="1"/>
      <c r="B153" s="8" t="s">
        <v>161</v>
      </c>
      <c r="C153" s="8" t="s">
        <v>7</v>
      </c>
      <c r="D153" s="9" t="e">
        <f>VLOOKUP(B153,'Nutrition Plan'!$D$65:$F$75,3,0)</f>
        <v>#N/A</v>
      </c>
      <c r="E153" s="10" t="e">
        <f>D153/(28/0.67)</f>
        <v>#N/A</v>
      </c>
      <c r="F153" s="11" t="e">
        <f>D153/(28/0.06)</f>
        <v>#N/A</v>
      </c>
      <c r="G153" s="10" t="e">
        <f>D153/(28/1.15)</f>
        <v>#N/A</v>
      </c>
      <c r="H153" s="12" t="e">
        <f t="shared" si="42"/>
        <v>#N/A</v>
      </c>
      <c r="I153" s="1"/>
    </row>
    <row r="154" spans="1:9" ht="15.75" customHeight="1" thickTop="1" thickBot="1" x14ac:dyDescent="0.3">
      <c r="A154" s="1"/>
      <c r="B154" s="8" t="s">
        <v>162</v>
      </c>
      <c r="C154" s="8" t="s">
        <v>7</v>
      </c>
      <c r="D154" s="9" t="e">
        <f>VLOOKUP(B154,'Nutrition Plan'!$D$65:$F$75,3,0)</f>
        <v>#N/A</v>
      </c>
      <c r="E154" s="10" t="e">
        <f>D154/(28/0.87)</f>
        <v>#N/A</v>
      </c>
      <c r="F154" s="11" t="e">
        <f t="shared" ref="F154:F155" si="44">D154/(28/0.03)</f>
        <v>#N/A</v>
      </c>
      <c r="G154" s="10" t="e">
        <f>D154/(28/1.5)</f>
        <v>#N/A</v>
      </c>
      <c r="H154" s="12" t="e">
        <f t="shared" si="42"/>
        <v>#N/A</v>
      </c>
      <c r="I154" s="1"/>
    </row>
    <row r="155" spans="1:9" ht="15.75" customHeight="1" thickTop="1" thickBot="1" x14ac:dyDescent="0.3">
      <c r="A155" s="1"/>
      <c r="B155" s="8" t="s">
        <v>163</v>
      </c>
      <c r="C155" s="8" t="s">
        <v>7</v>
      </c>
      <c r="D155" s="9" t="e">
        <f>VLOOKUP(B155,'Nutrition Plan'!$D$65:$F$75,3,0)</f>
        <v>#N/A</v>
      </c>
      <c r="E155" s="10" t="e">
        <f>D155/(28/0.36)</f>
        <v>#N/A</v>
      </c>
      <c r="F155" s="11" t="e">
        <f t="shared" si="44"/>
        <v>#N/A</v>
      </c>
      <c r="G155" s="10" t="e">
        <f>D155/(28/1.62)</f>
        <v>#N/A</v>
      </c>
      <c r="H155" s="12" t="e">
        <f t="shared" si="42"/>
        <v>#N/A</v>
      </c>
      <c r="I155" s="1"/>
    </row>
    <row r="156" spans="1:9" ht="15.75" customHeight="1" thickTop="1" thickBot="1" x14ac:dyDescent="0.3">
      <c r="A156" s="1"/>
      <c r="B156" s="8" t="s">
        <v>164</v>
      </c>
      <c r="C156" s="8" t="s">
        <v>7</v>
      </c>
      <c r="D156" s="9" t="e">
        <f>VLOOKUP(B156,'Nutrition Plan'!$D$65:$F$75,3,0)</f>
        <v>#N/A</v>
      </c>
      <c r="E156" s="10" t="e">
        <f>D156/(28/0.54)</f>
        <v>#N/A</v>
      </c>
      <c r="F156" s="11" t="e">
        <f t="shared" ref="F156:F157" si="45">D156/(28/0.08)</f>
        <v>#N/A</v>
      </c>
      <c r="G156" s="10" t="e">
        <f>D156/(28/1.4)</f>
        <v>#N/A</v>
      </c>
      <c r="H156" s="12" t="e">
        <f t="shared" si="42"/>
        <v>#N/A</v>
      </c>
      <c r="I156" s="1"/>
    </row>
    <row r="157" spans="1:9" ht="15.75" customHeight="1" thickTop="1" thickBot="1" x14ac:dyDescent="0.3">
      <c r="A157" s="1"/>
      <c r="B157" s="8" t="s">
        <v>165</v>
      </c>
      <c r="C157" s="8" t="s">
        <v>7</v>
      </c>
      <c r="D157" s="9" t="e">
        <f>VLOOKUP(B157,'Nutrition Plan'!$D$65:$F$75,3,0)</f>
        <v>#N/A</v>
      </c>
      <c r="E157" s="10" t="e">
        <f>D157/(28/0.34)</f>
        <v>#N/A</v>
      </c>
      <c r="F157" s="11" t="e">
        <f t="shared" si="45"/>
        <v>#N/A</v>
      </c>
      <c r="G157" s="10" t="e">
        <f>D157/(28/0.92)</f>
        <v>#N/A</v>
      </c>
      <c r="H157" s="12" t="e">
        <f t="shared" si="42"/>
        <v>#N/A</v>
      </c>
      <c r="I157" s="1"/>
    </row>
    <row r="158" spans="1:9" ht="15.75" customHeight="1" thickTop="1" thickBot="1" x14ac:dyDescent="0.3">
      <c r="A158" s="1"/>
      <c r="B158" s="8" t="s">
        <v>166</v>
      </c>
      <c r="C158" s="8" t="s">
        <v>7</v>
      </c>
      <c r="D158" s="9" t="e">
        <f>VLOOKUP(B158,'Nutrition Plan'!$D$65:$F$75,3,0)</f>
        <v>#N/A</v>
      </c>
      <c r="E158" s="10" t="e">
        <f>D158/(28/1.12)</f>
        <v>#N/A</v>
      </c>
      <c r="F158" s="11" t="e">
        <f>D158/(28/0.24)</f>
        <v>#N/A</v>
      </c>
      <c r="G158" s="10" t="e">
        <f>D158/(28/1.34)</f>
        <v>#N/A</v>
      </c>
      <c r="H158" s="12" t="e">
        <f t="shared" si="42"/>
        <v>#N/A</v>
      </c>
      <c r="I158" s="1"/>
    </row>
    <row r="159" spans="1:9" ht="15.75" customHeight="1" thickTop="1" thickBot="1" x14ac:dyDescent="0.3">
      <c r="A159" s="1"/>
      <c r="B159" s="8" t="s">
        <v>167</v>
      </c>
      <c r="C159" s="8" t="s">
        <v>7</v>
      </c>
      <c r="D159" s="9" t="e">
        <f>VLOOKUP(B159,'Nutrition Plan'!$D$65:$F$75,3,0)</f>
        <v>#N/A</v>
      </c>
      <c r="E159" s="10" t="e">
        <f>D159/(28/0.34)</f>
        <v>#N/A</v>
      </c>
      <c r="F159" s="11" t="e">
        <f>D159/(28/0.09)</f>
        <v>#N/A</v>
      </c>
      <c r="G159" s="10" t="e">
        <f>D159/(28/0.87)</f>
        <v>#N/A</v>
      </c>
      <c r="H159" s="12" t="e">
        <f t="shared" si="42"/>
        <v>#N/A</v>
      </c>
      <c r="I159" s="1"/>
    </row>
    <row r="160" spans="1:9" ht="15.75" customHeight="1" thickTop="1" x14ac:dyDescent="0.25">
      <c r="A160" s="1"/>
      <c r="B160" s="1"/>
      <c r="C160" s="1"/>
      <c r="D160" s="1"/>
      <c r="E160" s="1"/>
      <c r="F160" s="1"/>
      <c r="G160" s="1"/>
      <c r="H160" s="1"/>
      <c r="I160" s="1"/>
    </row>
    <row r="161" spans="1:1" ht="15.75" customHeight="1" x14ac:dyDescent="0.25">
      <c r="A161" s="7"/>
    </row>
    <row r="162" spans="1:1" ht="15.75" customHeight="1" x14ac:dyDescent="0.25">
      <c r="A162" s="7"/>
    </row>
    <row r="163" spans="1:1" ht="15.75" customHeight="1" x14ac:dyDescent="0.25">
      <c r="A163" s="7"/>
    </row>
    <row r="164" spans="1:1" ht="15.75" customHeight="1" x14ac:dyDescent="0.25">
      <c r="A164" s="7"/>
    </row>
    <row r="165" spans="1:1" ht="15.75" customHeight="1" x14ac:dyDescent="0.25">
      <c r="A165" s="7"/>
    </row>
    <row r="166" spans="1:1" ht="15.75" customHeight="1" x14ac:dyDescent="0.25">
      <c r="A166" s="7"/>
    </row>
    <row r="167" spans="1:1" ht="15.75" customHeight="1" x14ac:dyDescent="0.25">
      <c r="A167" s="7"/>
    </row>
    <row r="168" spans="1:1" ht="15.75" customHeight="1" x14ac:dyDescent="0.25">
      <c r="A168" s="7"/>
    </row>
    <row r="169" spans="1:1" ht="15.75" customHeight="1" x14ac:dyDescent="0.25">
      <c r="A169" s="7"/>
    </row>
    <row r="170" spans="1:1" ht="15.75" customHeight="1" x14ac:dyDescent="0.25">
      <c r="A170" s="7"/>
    </row>
    <row r="171" spans="1:1" ht="15.75" customHeight="1" x14ac:dyDescent="0.25">
      <c r="A171" s="7"/>
    </row>
    <row r="172" spans="1:1" ht="15.75" customHeight="1" x14ac:dyDescent="0.25">
      <c r="A172" s="7"/>
    </row>
    <row r="173" spans="1:1" ht="15.75" customHeight="1" x14ac:dyDescent="0.25">
      <c r="A173" s="7"/>
    </row>
    <row r="174" spans="1:1" ht="15.75" customHeight="1" x14ac:dyDescent="0.25">
      <c r="A174" s="7"/>
    </row>
    <row r="175" spans="1:1" ht="15.75" customHeight="1" x14ac:dyDescent="0.25">
      <c r="A175" s="7"/>
    </row>
    <row r="176" spans="1:1" ht="15.75" customHeight="1" x14ac:dyDescent="0.25">
      <c r="A176" s="7"/>
    </row>
    <row r="177" spans="1:1" ht="15.75" customHeight="1" x14ac:dyDescent="0.25">
      <c r="A177" s="7"/>
    </row>
    <row r="178" spans="1:1" ht="15.75" customHeight="1" x14ac:dyDescent="0.25">
      <c r="A178" s="7"/>
    </row>
    <row r="179" spans="1:1" ht="15.75" customHeight="1" x14ac:dyDescent="0.25">
      <c r="A179" s="7"/>
    </row>
    <row r="180" spans="1:1" ht="15.75" customHeight="1" x14ac:dyDescent="0.25">
      <c r="A180" s="7"/>
    </row>
    <row r="181" spans="1:1" ht="15.75" customHeight="1" x14ac:dyDescent="0.25">
      <c r="A181" s="7"/>
    </row>
    <row r="182" spans="1:1" ht="15.75" customHeight="1" x14ac:dyDescent="0.25">
      <c r="A182" s="7"/>
    </row>
    <row r="183" spans="1:1" ht="15.75" customHeight="1" x14ac:dyDescent="0.25">
      <c r="A183" s="7"/>
    </row>
    <row r="184" spans="1:1" ht="15.75" customHeight="1" x14ac:dyDescent="0.25">
      <c r="A184" s="7"/>
    </row>
    <row r="185" spans="1:1" ht="15.75" customHeight="1" x14ac:dyDescent="0.25">
      <c r="A185" s="7"/>
    </row>
    <row r="186" spans="1:1" ht="15.75" customHeight="1" x14ac:dyDescent="0.25">
      <c r="A186" s="7"/>
    </row>
    <row r="187" spans="1:1" ht="15.75" customHeight="1" x14ac:dyDescent="0.25">
      <c r="A187" s="7"/>
    </row>
    <row r="188" spans="1:1" ht="15.75" customHeight="1" x14ac:dyDescent="0.25">
      <c r="A188" s="7"/>
    </row>
    <row r="189" spans="1:1" ht="15.75" customHeight="1" x14ac:dyDescent="0.25">
      <c r="A189" s="7"/>
    </row>
    <row r="190" spans="1:1" ht="15.75" customHeight="1" x14ac:dyDescent="0.25">
      <c r="A190" s="7"/>
    </row>
    <row r="191" spans="1:1" ht="15.75" customHeight="1" x14ac:dyDescent="0.25">
      <c r="A191" s="7"/>
    </row>
    <row r="192" spans="1:1" ht="15.75" customHeight="1" x14ac:dyDescent="0.25">
      <c r="A192" s="7"/>
    </row>
    <row r="193" spans="1:1" ht="15.75" customHeight="1" x14ac:dyDescent="0.25">
      <c r="A193" s="7"/>
    </row>
    <row r="194" spans="1:1" ht="15.75" customHeight="1" x14ac:dyDescent="0.25">
      <c r="A194" s="7"/>
    </row>
    <row r="195" spans="1:1" ht="15.75" customHeight="1" x14ac:dyDescent="0.25">
      <c r="A195" s="7"/>
    </row>
    <row r="196" spans="1:1" ht="15.75" customHeight="1" x14ac:dyDescent="0.25">
      <c r="A196" s="7"/>
    </row>
    <row r="197" spans="1:1" ht="15.75" customHeight="1" x14ac:dyDescent="0.25">
      <c r="A197" s="7"/>
    </row>
    <row r="198" spans="1:1" ht="15.75" customHeight="1" x14ac:dyDescent="0.25">
      <c r="A198" s="7"/>
    </row>
    <row r="199" spans="1:1" ht="15.75" customHeight="1" x14ac:dyDescent="0.25">
      <c r="A199" s="7"/>
    </row>
    <row r="200" spans="1:1" ht="15.75" customHeight="1" x14ac:dyDescent="0.25">
      <c r="A200" s="7"/>
    </row>
    <row r="201" spans="1:1" ht="15.75" customHeight="1" x14ac:dyDescent="0.25">
      <c r="A201" s="7"/>
    </row>
    <row r="202" spans="1:1" ht="15.75" customHeight="1" x14ac:dyDescent="0.25">
      <c r="A202" s="7"/>
    </row>
    <row r="203" spans="1:1" ht="15.75" customHeight="1" x14ac:dyDescent="0.25">
      <c r="A203" s="7"/>
    </row>
    <row r="204" spans="1:1" ht="15.75" customHeight="1" x14ac:dyDescent="0.25">
      <c r="A204" s="7"/>
    </row>
    <row r="205" spans="1:1" ht="15.75" customHeight="1" x14ac:dyDescent="0.25">
      <c r="A205" s="7"/>
    </row>
    <row r="206" spans="1:1" ht="15.75" customHeight="1" x14ac:dyDescent="0.25">
      <c r="A206" s="7"/>
    </row>
    <row r="207" spans="1:1" ht="15.75" customHeight="1" x14ac:dyDescent="0.25">
      <c r="A207" s="7"/>
    </row>
    <row r="208" spans="1:1" ht="15.75" customHeight="1" x14ac:dyDescent="0.25">
      <c r="A208" s="7"/>
    </row>
    <row r="209" spans="1:1" ht="15.75" customHeight="1" x14ac:dyDescent="0.25">
      <c r="A209" s="7"/>
    </row>
    <row r="210" spans="1:1" ht="15.75" customHeight="1" x14ac:dyDescent="0.25">
      <c r="A210" s="7"/>
    </row>
    <row r="211" spans="1:1" ht="15.75" customHeight="1" x14ac:dyDescent="0.25">
      <c r="A211" s="7"/>
    </row>
    <row r="212" spans="1:1" ht="15.75" customHeight="1" x14ac:dyDescent="0.25">
      <c r="A212" s="7"/>
    </row>
    <row r="213" spans="1:1" ht="15.75" customHeight="1" x14ac:dyDescent="0.25">
      <c r="A213" s="7"/>
    </row>
    <row r="214" spans="1:1" ht="15.75" customHeight="1" x14ac:dyDescent="0.25">
      <c r="A214" s="7"/>
    </row>
    <row r="215" spans="1:1" ht="15.75" customHeight="1" x14ac:dyDescent="0.25">
      <c r="A215" s="7"/>
    </row>
    <row r="216" spans="1:1" ht="15.75" customHeight="1" x14ac:dyDescent="0.25">
      <c r="A216" s="7"/>
    </row>
    <row r="217" spans="1:1" ht="15.75" customHeight="1" x14ac:dyDescent="0.25">
      <c r="A217" s="7"/>
    </row>
    <row r="218" spans="1:1" ht="15.75" customHeight="1" x14ac:dyDescent="0.25">
      <c r="A218" s="7"/>
    </row>
    <row r="219" spans="1:1" ht="15.75" customHeight="1" x14ac:dyDescent="0.25">
      <c r="A219" s="7"/>
    </row>
    <row r="220" spans="1:1" ht="15.75" customHeight="1" x14ac:dyDescent="0.25">
      <c r="A220" s="7"/>
    </row>
    <row r="221" spans="1:1" ht="15.75" customHeight="1" x14ac:dyDescent="0.25">
      <c r="A221" s="7"/>
    </row>
    <row r="222" spans="1:1" ht="15.75" customHeight="1" x14ac:dyDescent="0.25">
      <c r="A222" s="7"/>
    </row>
    <row r="223" spans="1:1" ht="15.75" customHeight="1" x14ac:dyDescent="0.25">
      <c r="A223" s="7"/>
    </row>
    <row r="224" spans="1:1" ht="15.75" customHeight="1" x14ac:dyDescent="0.25">
      <c r="A224" s="7"/>
    </row>
    <row r="225" spans="1:1" ht="15.75" customHeight="1" x14ac:dyDescent="0.25">
      <c r="A225" s="7"/>
    </row>
    <row r="226" spans="1:1" ht="15.75" customHeight="1" x14ac:dyDescent="0.25">
      <c r="A226" s="7"/>
    </row>
    <row r="227" spans="1:1" ht="15.75" customHeight="1" x14ac:dyDescent="0.25">
      <c r="A227" s="7"/>
    </row>
    <row r="228" spans="1:1" ht="15.75" customHeight="1" x14ac:dyDescent="0.25">
      <c r="A228" s="7"/>
    </row>
    <row r="229" spans="1:1" ht="15.75" customHeight="1" x14ac:dyDescent="0.25">
      <c r="A229" s="7"/>
    </row>
    <row r="230" spans="1:1" ht="15.75" customHeight="1" x14ac:dyDescent="0.25">
      <c r="A230" s="7"/>
    </row>
    <row r="231" spans="1:1" ht="15.75" customHeight="1" x14ac:dyDescent="0.25">
      <c r="A231" s="7"/>
    </row>
    <row r="232" spans="1:1" ht="15.75" customHeight="1" x14ac:dyDescent="0.25">
      <c r="A232" s="7"/>
    </row>
    <row r="233" spans="1:1" ht="15.75" customHeight="1" x14ac:dyDescent="0.25">
      <c r="A233" s="7"/>
    </row>
    <row r="234" spans="1:1" ht="15.75" customHeight="1" x14ac:dyDescent="0.25">
      <c r="A234" s="7"/>
    </row>
    <row r="235" spans="1:1" ht="15.75" customHeight="1" x14ac:dyDescent="0.25">
      <c r="A235" s="7"/>
    </row>
    <row r="236" spans="1:1" ht="15.75" customHeight="1" x14ac:dyDescent="0.25">
      <c r="A236" s="7"/>
    </row>
    <row r="237" spans="1:1" ht="15.75" customHeight="1" x14ac:dyDescent="0.25">
      <c r="A237" s="7"/>
    </row>
    <row r="238" spans="1:1" ht="15.75" customHeight="1" x14ac:dyDescent="0.25">
      <c r="A238" s="7"/>
    </row>
    <row r="239" spans="1:1" ht="15.75" customHeight="1" x14ac:dyDescent="0.25">
      <c r="A239" s="7"/>
    </row>
    <row r="240" spans="1:1" ht="15.75" customHeight="1" x14ac:dyDescent="0.25">
      <c r="A240" s="7"/>
    </row>
    <row r="241" spans="1:1" ht="15.75" customHeight="1" x14ac:dyDescent="0.25">
      <c r="A241" s="7"/>
    </row>
    <row r="242" spans="1:1" ht="15.75" customHeight="1" x14ac:dyDescent="0.25">
      <c r="A242" s="7"/>
    </row>
    <row r="243" spans="1:1" ht="15.75" customHeight="1" x14ac:dyDescent="0.25">
      <c r="A243" s="7"/>
    </row>
    <row r="244" spans="1:1" ht="15.75" customHeight="1" x14ac:dyDescent="0.25">
      <c r="A244" s="7"/>
    </row>
    <row r="245" spans="1:1" ht="15.75" customHeight="1" x14ac:dyDescent="0.25">
      <c r="A245" s="7"/>
    </row>
    <row r="246" spans="1:1" ht="15.75" customHeight="1" x14ac:dyDescent="0.25">
      <c r="A246" s="7"/>
    </row>
    <row r="247" spans="1:1" ht="15.75" customHeight="1" x14ac:dyDescent="0.25">
      <c r="A247" s="7"/>
    </row>
    <row r="248" spans="1:1" ht="15.75" customHeight="1" x14ac:dyDescent="0.25">
      <c r="A248" s="7"/>
    </row>
    <row r="249" spans="1:1" ht="15.75" customHeight="1" x14ac:dyDescent="0.25">
      <c r="A249" s="7"/>
    </row>
    <row r="250" spans="1:1" ht="15.75" customHeight="1" x14ac:dyDescent="0.25">
      <c r="A250" s="7"/>
    </row>
    <row r="251" spans="1:1" ht="15.75" customHeight="1" x14ac:dyDescent="0.25">
      <c r="A251" s="7"/>
    </row>
    <row r="252" spans="1:1" ht="15.75" customHeight="1" x14ac:dyDescent="0.25">
      <c r="A252" s="7"/>
    </row>
    <row r="253" spans="1:1" ht="15.75" customHeight="1" x14ac:dyDescent="0.25">
      <c r="A253" s="7"/>
    </row>
    <row r="254" spans="1:1" ht="15.75" customHeight="1" x14ac:dyDescent="0.25">
      <c r="A254" s="7"/>
    </row>
    <row r="255" spans="1:1" ht="15.75" customHeight="1" x14ac:dyDescent="0.25">
      <c r="A255" s="7"/>
    </row>
    <row r="256" spans="1:1" ht="15.75" customHeight="1" x14ac:dyDescent="0.25">
      <c r="A256" s="7"/>
    </row>
    <row r="257" spans="1:1" ht="15.75" customHeight="1" x14ac:dyDescent="0.25">
      <c r="A257" s="7"/>
    </row>
    <row r="258" spans="1:1" ht="15.75" customHeight="1" x14ac:dyDescent="0.25">
      <c r="A258" s="7"/>
    </row>
    <row r="259" spans="1:1" ht="15.75" customHeight="1" x14ac:dyDescent="0.25">
      <c r="A259" s="7"/>
    </row>
    <row r="260" spans="1:1" ht="15.75" customHeight="1" x14ac:dyDescent="0.25">
      <c r="A260" s="7"/>
    </row>
    <row r="261" spans="1:1" ht="15.75" customHeight="1" x14ac:dyDescent="0.25">
      <c r="A261" s="7"/>
    </row>
    <row r="262" spans="1:1" ht="15.75" customHeight="1" x14ac:dyDescent="0.25">
      <c r="A262" s="7"/>
    </row>
    <row r="263" spans="1:1" ht="15.75" customHeight="1" x14ac:dyDescent="0.25">
      <c r="A263" s="7"/>
    </row>
    <row r="264" spans="1:1" ht="15.75" customHeight="1" x14ac:dyDescent="0.25">
      <c r="A264" s="7"/>
    </row>
    <row r="265" spans="1:1" ht="15.75" customHeight="1" x14ac:dyDescent="0.25">
      <c r="A265" s="7"/>
    </row>
    <row r="266" spans="1:1" ht="15.75" customHeight="1" x14ac:dyDescent="0.25">
      <c r="A266" s="7"/>
    </row>
    <row r="267" spans="1:1" ht="15.75" customHeight="1" x14ac:dyDescent="0.25">
      <c r="A267" s="7"/>
    </row>
    <row r="268" spans="1:1" ht="15.75" customHeight="1" x14ac:dyDescent="0.25">
      <c r="A268" s="7"/>
    </row>
    <row r="269" spans="1:1" ht="15.75" customHeight="1" x14ac:dyDescent="0.25">
      <c r="A269" s="7"/>
    </row>
    <row r="270" spans="1:1" ht="15.75" customHeight="1" x14ac:dyDescent="0.25">
      <c r="A270" s="7"/>
    </row>
    <row r="271" spans="1:1" ht="15.75" customHeight="1" x14ac:dyDescent="0.25">
      <c r="A271" s="7"/>
    </row>
    <row r="272" spans="1:1" ht="15.75" customHeight="1" x14ac:dyDescent="0.25">
      <c r="A272" s="7"/>
    </row>
    <row r="273" spans="1:1" ht="15.75" customHeight="1" x14ac:dyDescent="0.25">
      <c r="A273" s="7"/>
    </row>
    <row r="274" spans="1:1" ht="15.75" customHeight="1" x14ac:dyDescent="0.25">
      <c r="A274" s="7"/>
    </row>
    <row r="275" spans="1:1" ht="15.75" customHeight="1" x14ac:dyDescent="0.25">
      <c r="A275" s="7"/>
    </row>
    <row r="276" spans="1:1" ht="15.75" customHeight="1" x14ac:dyDescent="0.25">
      <c r="A276" s="7"/>
    </row>
    <row r="277" spans="1:1" ht="15.75" customHeight="1" x14ac:dyDescent="0.25">
      <c r="A277" s="7"/>
    </row>
    <row r="278" spans="1:1" ht="15.75" customHeight="1" x14ac:dyDescent="0.25">
      <c r="A278" s="7"/>
    </row>
    <row r="279" spans="1:1" ht="15.75" customHeight="1" x14ac:dyDescent="0.25">
      <c r="A279" s="7"/>
    </row>
    <row r="280" spans="1:1" ht="15.75" customHeight="1" x14ac:dyDescent="0.25">
      <c r="A280" s="7"/>
    </row>
    <row r="281" spans="1:1" ht="15.75" customHeight="1" x14ac:dyDescent="0.25">
      <c r="A281" s="7"/>
    </row>
    <row r="282" spans="1:1" ht="15.75" customHeight="1" x14ac:dyDescent="0.25">
      <c r="A282" s="7"/>
    </row>
    <row r="283" spans="1:1" ht="15.75" customHeight="1" x14ac:dyDescent="0.25">
      <c r="A283" s="7"/>
    </row>
    <row r="284" spans="1:1" ht="15.75" customHeight="1" x14ac:dyDescent="0.25">
      <c r="A284" s="7"/>
    </row>
    <row r="285" spans="1:1" ht="15.75" customHeight="1" x14ac:dyDescent="0.25">
      <c r="A285" s="7"/>
    </row>
    <row r="286" spans="1:1" ht="15.75" customHeight="1" x14ac:dyDescent="0.25">
      <c r="A286" s="7"/>
    </row>
    <row r="287" spans="1:1" ht="15.75" customHeight="1" x14ac:dyDescent="0.25">
      <c r="A287" s="7"/>
    </row>
    <row r="288" spans="1:1" ht="15.75" customHeight="1" x14ac:dyDescent="0.25">
      <c r="A288" s="7"/>
    </row>
    <row r="289" spans="1:1" ht="15.75" customHeight="1" x14ac:dyDescent="0.25">
      <c r="A289" s="7"/>
    </row>
    <row r="290" spans="1:1" ht="15.75" customHeight="1" x14ac:dyDescent="0.25">
      <c r="A290" s="7"/>
    </row>
    <row r="291" spans="1:1" ht="15.75" customHeight="1" x14ac:dyDescent="0.25">
      <c r="A291" s="7"/>
    </row>
    <row r="292" spans="1:1" ht="15.75" customHeight="1" x14ac:dyDescent="0.25">
      <c r="A292" s="7"/>
    </row>
    <row r="293" spans="1:1" ht="15.75" customHeight="1" x14ac:dyDescent="0.25">
      <c r="A293" s="7"/>
    </row>
    <row r="294" spans="1:1" ht="15.75" customHeight="1" x14ac:dyDescent="0.25">
      <c r="A294" s="7"/>
    </row>
    <row r="295" spans="1:1" ht="15.75" customHeight="1" x14ac:dyDescent="0.25">
      <c r="A295" s="7"/>
    </row>
    <row r="296" spans="1:1" ht="15.75" customHeight="1" x14ac:dyDescent="0.25">
      <c r="A296" s="7"/>
    </row>
    <row r="297" spans="1:1" ht="15.75" customHeight="1" x14ac:dyDescent="0.25">
      <c r="A297" s="7"/>
    </row>
    <row r="298" spans="1:1" ht="15.75" customHeight="1" x14ac:dyDescent="0.25">
      <c r="A298" s="7"/>
    </row>
    <row r="299" spans="1:1" ht="15.75" customHeight="1" x14ac:dyDescent="0.25">
      <c r="A299" s="7"/>
    </row>
    <row r="300" spans="1:1" ht="15.75" customHeight="1" x14ac:dyDescent="0.25">
      <c r="A300" s="7"/>
    </row>
    <row r="301" spans="1:1" ht="15.75" customHeight="1" x14ac:dyDescent="0.25">
      <c r="A301" s="7"/>
    </row>
    <row r="302" spans="1:1" ht="15.75" customHeight="1" x14ac:dyDescent="0.25">
      <c r="A302" s="7"/>
    </row>
    <row r="303" spans="1:1" ht="15.75" customHeight="1" x14ac:dyDescent="0.25">
      <c r="A303" s="7"/>
    </row>
    <row r="304" spans="1:1" ht="15.75" customHeight="1" x14ac:dyDescent="0.25">
      <c r="A304" s="7"/>
    </row>
    <row r="305" spans="1:1" ht="15.75" customHeight="1" x14ac:dyDescent="0.25">
      <c r="A305" s="7"/>
    </row>
    <row r="306" spans="1:1" ht="15.75" customHeight="1" x14ac:dyDescent="0.25">
      <c r="A306" s="7"/>
    </row>
    <row r="307" spans="1:1" ht="15.75" customHeight="1" x14ac:dyDescent="0.25">
      <c r="A307" s="7"/>
    </row>
    <row r="308" spans="1:1" ht="15.75" customHeight="1" x14ac:dyDescent="0.25">
      <c r="A308" s="7"/>
    </row>
    <row r="309" spans="1:1" ht="15.75" customHeight="1" x14ac:dyDescent="0.25">
      <c r="A309" s="7"/>
    </row>
    <row r="310" spans="1:1" ht="15.75" customHeight="1" x14ac:dyDescent="0.25">
      <c r="A310" s="7"/>
    </row>
    <row r="311" spans="1:1" ht="15.75" customHeight="1" x14ac:dyDescent="0.25">
      <c r="A311" s="7"/>
    </row>
    <row r="312" spans="1:1" ht="15.75" customHeight="1" x14ac:dyDescent="0.25">
      <c r="A312" s="7"/>
    </row>
    <row r="313" spans="1:1" ht="15.75" customHeight="1" x14ac:dyDescent="0.25">
      <c r="A313" s="7"/>
    </row>
    <row r="314" spans="1:1" ht="15.75" customHeight="1" x14ac:dyDescent="0.25">
      <c r="A314" s="7"/>
    </row>
    <row r="315" spans="1:1" ht="15.75" customHeight="1" x14ac:dyDescent="0.25">
      <c r="A315" s="7"/>
    </row>
    <row r="316" spans="1:1" ht="15.75" customHeight="1" x14ac:dyDescent="0.25">
      <c r="A316" s="7"/>
    </row>
    <row r="317" spans="1:1" ht="15.75" customHeight="1" x14ac:dyDescent="0.25">
      <c r="A317" s="7"/>
    </row>
    <row r="318" spans="1:1" ht="15.75" customHeight="1" x14ac:dyDescent="0.25">
      <c r="A318" s="7"/>
    </row>
    <row r="319" spans="1:1" ht="15.75" customHeight="1" x14ac:dyDescent="0.25">
      <c r="A319" s="7"/>
    </row>
    <row r="320" spans="1:1" ht="15.75" customHeight="1" x14ac:dyDescent="0.25">
      <c r="A320" s="7"/>
    </row>
    <row r="321" spans="1:1" ht="15.75" customHeight="1" x14ac:dyDescent="0.25">
      <c r="A321" s="7"/>
    </row>
    <row r="322" spans="1:1" ht="15.75" customHeight="1" x14ac:dyDescent="0.25">
      <c r="A322" s="7"/>
    </row>
    <row r="323" spans="1:1" ht="15.75" customHeight="1" x14ac:dyDescent="0.25">
      <c r="A323" s="7"/>
    </row>
    <row r="324" spans="1:1" ht="15.75" customHeight="1" x14ac:dyDescent="0.25">
      <c r="A324" s="7"/>
    </row>
    <row r="325" spans="1:1" ht="15.75" customHeight="1" x14ac:dyDescent="0.25">
      <c r="A325" s="7"/>
    </row>
    <row r="326" spans="1:1" ht="15.75" customHeight="1" x14ac:dyDescent="0.25">
      <c r="A326" s="7"/>
    </row>
    <row r="327" spans="1:1" ht="15.75" customHeight="1" x14ac:dyDescent="0.25">
      <c r="A327" s="7"/>
    </row>
    <row r="328" spans="1:1" ht="15.75" customHeight="1" x14ac:dyDescent="0.25">
      <c r="A328" s="7"/>
    </row>
    <row r="329" spans="1:1" ht="15.75" customHeight="1" x14ac:dyDescent="0.25">
      <c r="A329" s="7"/>
    </row>
    <row r="330" spans="1:1" ht="15.75" customHeight="1" x14ac:dyDescent="0.25">
      <c r="A330" s="7"/>
    </row>
    <row r="331" spans="1:1" ht="15.75" customHeight="1" x14ac:dyDescent="0.25">
      <c r="A331" s="7"/>
    </row>
    <row r="332" spans="1:1" ht="15.75" customHeight="1" x14ac:dyDescent="0.25">
      <c r="A332" s="7"/>
    </row>
    <row r="333" spans="1:1" ht="15.75" customHeight="1" x14ac:dyDescent="0.25">
      <c r="A333" s="7"/>
    </row>
    <row r="334" spans="1:1" ht="15.75" customHeight="1" x14ac:dyDescent="0.25">
      <c r="A334" s="7"/>
    </row>
    <row r="335" spans="1:1" ht="15.75" customHeight="1" x14ac:dyDescent="0.25">
      <c r="A335" s="7"/>
    </row>
    <row r="336" spans="1:1" ht="15.75" customHeight="1" x14ac:dyDescent="0.25">
      <c r="A336" s="7"/>
    </row>
    <row r="337" spans="1:1" ht="15.75" customHeight="1" x14ac:dyDescent="0.25">
      <c r="A337" s="7"/>
    </row>
    <row r="338" spans="1:1" ht="15.75" customHeight="1" x14ac:dyDescent="0.25">
      <c r="A338" s="7"/>
    </row>
    <row r="339" spans="1:1" ht="15.75" customHeight="1" x14ac:dyDescent="0.25">
      <c r="A339" s="7"/>
    </row>
    <row r="340" spans="1:1" ht="15.75" customHeight="1" x14ac:dyDescent="0.25">
      <c r="A340" s="7"/>
    </row>
    <row r="341" spans="1:1" ht="15.75" customHeight="1" x14ac:dyDescent="0.25">
      <c r="A341" s="7"/>
    </row>
    <row r="342" spans="1:1" ht="15.75" customHeight="1" x14ac:dyDescent="0.25">
      <c r="A342" s="7"/>
    </row>
    <row r="343" spans="1:1" ht="15.75" customHeight="1" x14ac:dyDescent="0.25">
      <c r="A343" s="7"/>
    </row>
    <row r="344" spans="1:1" ht="15.75" customHeight="1" x14ac:dyDescent="0.25">
      <c r="A344" s="7"/>
    </row>
    <row r="345" spans="1:1" ht="15.75" customHeight="1" x14ac:dyDescent="0.25">
      <c r="A345" s="7"/>
    </row>
    <row r="346" spans="1:1" ht="15.75" customHeight="1" x14ac:dyDescent="0.25">
      <c r="A346" s="7"/>
    </row>
    <row r="347" spans="1:1" ht="15.75" customHeight="1" x14ac:dyDescent="0.25">
      <c r="A347" s="7"/>
    </row>
    <row r="348" spans="1:1" ht="15.75" customHeight="1" x14ac:dyDescent="0.25">
      <c r="A348" s="7"/>
    </row>
    <row r="349" spans="1:1" ht="15.75" customHeight="1" x14ac:dyDescent="0.25">
      <c r="A349" s="7"/>
    </row>
    <row r="350" spans="1:1" ht="15.75" customHeight="1" x14ac:dyDescent="0.25">
      <c r="A350" s="7"/>
    </row>
    <row r="351" spans="1:1" ht="15.75" customHeight="1" x14ac:dyDescent="0.25">
      <c r="A351" s="7"/>
    </row>
    <row r="352" spans="1:1" ht="15.75" customHeight="1" x14ac:dyDescent="0.25">
      <c r="A352" s="7"/>
    </row>
    <row r="353" spans="1:1" ht="15.75" customHeight="1" x14ac:dyDescent="0.25">
      <c r="A353" s="7"/>
    </row>
    <row r="354" spans="1:1" ht="15.75" customHeight="1" x14ac:dyDescent="0.25">
      <c r="A354" s="7"/>
    </row>
    <row r="355" spans="1:1" ht="15.75" customHeight="1" x14ac:dyDescent="0.25">
      <c r="A355" s="7"/>
    </row>
    <row r="356" spans="1:1" ht="15.75" customHeight="1" x14ac:dyDescent="0.25">
      <c r="A356" s="7"/>
    </row>
    <row r="357" spans="1:1" ht="15.75" customHeight="1" x14ac:dyDescent="0.25">
      <c r="A357" s="7"/>
    </row>
    <row r="358" spans="1:1" ht="15.75" customHeight="1" x14ac:dyDescent="0.25">
      <c r="A358" s="7"/>
    </row>
    <row r="359" spans="1:1" ht="15.75" customHeight="1" x14ac:dyDescent="0.25">
      <c r="A359" s="7"/>
    </row>
    <row r="360" spans="1:1" ht="15.75" customHeight="1" x14ac:dyDescent="0.25">
      <c r="A360" s="7"/>
    </row>
    <row r="361" spans="1:1" ht="15.75" customHeight="1" x14ac:dyDescent="0.25">
      <c r="A361" s="7"/>
    </row>
    <row r="362" spans="1:1" ht="15.75" customHeight="1" x14ac:dyDescent="0.25">
      <c r="A362" s="7"/>
    </row>
    <row r="363" spans="1:1" ht="15.75" customHeight="1" x14ac:dyDescent="0.25">
      <c r="A363" s="7"/>
    </row>
    <row r="364" spans="1:1" ht="15.75" customHeight="1" x14ac:dyDescent="0.25">
      <c r="A364" s="7"/>
    </row>
    <row r="365" spans="1:1" ht="15.75" customHeight="1" x14ac:dyDescent="0.25">
      <c r="A365" s="7"/>
    </row>
    <row r="366" spans="1:1" ht="15.75" customHeight="1" x14ac:dyDescent="0.25">
      <c r="A366" s="7"/>
    </row>
    <row r="367" spans="1:1" ht="15.75" customHeight="1" x14ac:dyDescent="0.25">
      <c r="A367" s="7"/>
    </row>
    <row r="368" spans="1:1" ht="15.75" customHeight="1" x14ac:dyDescent="0.25">
      <c r="A368" s="7"/>
    </row>
    <row r="369" spans="1:1" ht="15.75" customHeight="1" x14ac:dyDescent="0.25">
      <c r="A369" s="7"/>
    </row>
    <row r="370" spans="1:1" ht="15.75" customHeight="1" x14ac:dyDescent="0.25">
      <c r="A370" s="7"/>
    </row>
    <row r="371" spans="1:1" ht="15.75" customHeight="1" x14ac:dyDescent="0.25">
      <c r="A371" s="7"/>
    </row>
    <row r="372" spans="1:1" ht="15.75" customHeight="1" x14ac:dyDescent="0.25">
      <c r="A372" s="7"/>
    </row>
    <row r="373" spans="1:1" ht="15.75" customHeight="1" x14ac:dyDescent="0.25">
      <c r="A373" s="7"/>
    </row>
    <row r="374" spans="1:1" ht="15.75" customHeight="1" x14ac:dyDescent="0.25">
      <c r="A374" s="7"/>
    </row>
    <row r="375" spans="1:1" ht="15.75" customHeight="1" x14ac:dyDescent="0.25">
      <c r="A375" s="7"/>
    </row>
    <row r="376" spans="1:1" ht="15.75" customHeight="1" x14ac:dyDescent="0.25">
      <c r="A376" s="7"/>
    </row>
    <row r="377" spans="1:1" ht="15.75" customHeight="1" x14ac:dyDescent="0.25">
      <c r="A377" s="7"/>
    </row>
    <row r="378" spans="1:1" ht="15.75" customHeight="1" x14ac:dyDescent="0.25">
      <c r="A378" s="7"/>
    </row>
    <row r="379" spans="1:1" ht="15.75" customHeight="1" x14ac:dyDescent="0.25">
      <c r="A379" s="7"/>
    </row>
    <row r="380" spans="1:1" ht="15.75" customHeight="1" x14ac:dyDescent="0.25">
      <c r="A380" s="7"/>
    </row>
    <row r="381" spans="1:1" ht="15.75" customHeight="1" x14ac:dyDescent="0.25">
      <c r="A381" s="7"/>
    </row>
    <row r="382" spans="1:1" ht="15.75" customHeight="1" x14ac:dyDescent="0.25">
      <c r="A382" s="7"/>
    </row>
    <row r="383" spans="1:1" ht="15.75" customHeight="1" x14ac:dyDescent="0.25">
      <c r="A383" s="7"/>
    </row>
    <row r="384" spans="1:1" ht="15.75" customHeight="1" x14ac:dyDescent="0.25">
      <c r="A384" s="7"/>
    </row>
    <row r="385" spans="1:1" ht="15.75" customHeight="1" x14ac:dyDescent="0.25">
      <c r="A385" s="7"/>
    </row>
    <row r="386" spans="1:1" ht="15.75" customHeight="1" x14ac:dyDescent="0.25">
      <c r="A386" s="7"/>
    </row>
    <row r="387" spans="1:1" ht="15.75" customHeight="1" x14ac:dyDescent="0.25">
      <c r="A387" s="7"/>
    </row>
    <row r="388" spans="1:1" ht="15.75" customHeight="1" x14ac:dyDescent="0.25">
      <c r="A388" s="7"/>
    </row>
    <row r="389" spans="1:1" ht="15.75" customHeight="1" x14ac:dyDescent="0.25">
      <c r="A389" s="7"/>
    </row>
    <row r="390" spans="1:1" ht="15.75" customHeight="1" x14ac:dyDescent="0.25">
      <c r="A390" s="7"/>
    </row>
    <row r="391" spans="1:1" ht="15.75" customHeight="1" x14ac:dyDescent="0.25">
      <c r="A391" s="7"/>
    </row>
    <row r="392" spans="1:1" ht="15.75" customHeight="1" x14ac:dyDescent="0.25">
      <c r="A392" s="7"/>
    </row>
    <row r="393" spans="1:1" ht="15.75" customHeight="1" x14ac:dyDescent="0.25">
      <c r="A393" s="7"/>
    </row>
    <row r="394" spans="1:1" ht="15.75" customHeight="1" x14ac:dyDescent="0.25">
      <c r="A394" s="7"/>
    </row>
    <row r="395" spans="1:1" ht="15.75" customHeight="1" x14ac:dyDescent="0.25">
      <c r="A395" s="7"/>
    </row>
    <row r="396" spans="1:1" ht="15.75" customHeight="1" x14ac:dyDescent="0.25">
      <c r="A396" s="7"/>
    </row>
    <row r="397" spans="1:1" ht="15.75" customHeight="1" x14ac:dyDescent="0.25">
      <c r="A397" s="7"/>
    </row>
    <row r="398" spans="1:1" ht="15.75" customHeight="1" x14ac:dyDescent="0.25">
      <c r="A398" s="7"/>
    </row>
    <row r="399" spans="1:1" ht="15.75" customHeight="1" x14ac:dyDescent="0.25">
      <c r="A399" s="7"/>
    </row>
    <row r="400" spans="1:1" ht="15.75" customHeight="1" x14ac:dyDescent="0.25">
      <c r="A400" s="7"/>
    </row>
    <row r="401" spans="1:1" ht="15.75" customHeight="1" x14ac:dyDescent="0.25">
      <c r="A401" s="7"/>
    </row>
    <row r="402" spans="1:1" ht="15.75" customHeight="1" x14ac:dyDescent="0.25">
      <c r="A402" s="7"/>
    </row>
    <row r="403" spans="1:1" ht="15.75" customHeight="1" x14ac:dyDescent="0.25">
      <c r="A403" s="7"/>
    </row>
    <row r="404" spans="1:1" ht="15.75" customHeight="1" x14ac:dyDescent="0.25">
      <c r="A404" s="7"/>
    </row>
    <row r="405" spans="1:1" ht="15.75" customHeight="1" x14ac:dyDescent="0.25">
      <c r="A405" s="7"/>
    </row>
    <row r="406" spans="1:1" ht="15.75" customHeight="1" x14ac:dyDescent="0.25">
      <c r="A406" s="7"/>
    </row>
    <row r="407" spans="1:1" ht="15.75" customHeight="1" x14ac:dyDescent="0.25">
      <c r="A407" s="7"/>
    </row>
    <row r="408" spans="1:1" ht="15.75" customHeight="1" x14ac:dyDescent="0.25">
      <c r="A408" s="7"/>
    </row>
    <row r="409" spans="1:1" ht="15.75" customHeight="1" x14ac:dyDescent="0.25">
      <c r="A409" s="7"/>
    </row>
    <row r="410" spans="1:1" ht="15.75" customHeight="1" x14ac:dyDescent="0.25">
      <c r="A410" s="7"/>
    </row>
    <row r="411" spans="1:1" ht="15.75" customHeight="1" x14ac:dyDescent="0.25">
      <c r="A411" s="7"/>
    </row>
    <row r="412" spans="1:1" ht="15.75" customHeight="1" x14ac:dyDescent="0.25">
      <c r="A412" s="7"/>
    </row>
    <row r="413" spans="1:1" ht="15.75" customHeight="1" x14ac:dyDescent="0.25">
      <c r="A413" s="7"/>
    </row>
    <row r="414" spans="1:1" ht="15.75" customHeight="1" x14ac:dyDescent="0.25">
      <c r="A414" s="7"/>
    </row>
    <row r="415" spans="1:1" ht="15.75" customHeight="1" x14ac:dyDescent="0.25">
      <c r="A415" s="7"/>
    </row>
    <row r="416" spans="1:1" ht="15.75" customHeight="1" x14ac:dyDescent="0.25">
      <c r="A416" s="7"/>
    </row>
    <row r="417" spans="1:1" ht="15.75" customHeight="1" x14ac:dyDescent="0.25">
      <c r="A417" s="7"/>
    </row>
    <row r="418" spans="1:1" ht="15.75" customHeight="1" x14ac:dyDescent="0.25">
      <c r="A418" s="7"/>
    </row>
    <row r="419" spans="1:1" ht="15.75" customHeight="1" x14ac:dyDescent="0.25">
      <c r="A419" s="7"/>
    </row>
    <row r="420" spans="1:1" ht="15.75" customHeight="1" x14ac:dyDescent="0.25">
      <c r="A420" s="7"/>
    </row>
    <row r="421" spans="1:1" ht="15.75" customHeight="1" x14ac:dyDescent="0.25">
      <c r="A421" s="7"/>
    </row>
    <row r="422" spans="1:1" ht="15.75" customHeight="1" x14ac:dyDescent="0.25">
      <c r="A422" s="7"/>
    </row>
    <row r="423" spans="1:1" ht="15.75" customHeight="1" x14ac:dyDescent="0.25">
      <c r="A423" s="7"/>
    </row>
    <row r="424" spans="1:1" ht="15.75" customHeight="1" x14ac:dyDescent="0.25">
      <c r="A424" s="7"/>
    </row>
    <row r="425" spans="1:1" ht="15.75" customHeight="1" x14ac:dyDescent="0.25">
      <c r="A425" s="7"/>
    </row>
    <row r="426" spans="1:1" ht="15.75" customHeight="1" x14ac:dyDescent="0.25">
      <c r="A426" s="7"/>
    </row>
    <row r="427" spans="1:1" ht="15.75" customHeight="1" x14ac:dyDescent="0.25">
      <c r="A427" s="7"/>
    </row>
    <row r="428" spans="1:1" ht="15.75" customHeight="1" x14ac:dyDescent="0.25">
      <c r="A428" s="7"/>
    </row>
    <row r="429" spans="1:1" ht="15.75" customHeight="1" x14ac:dyDescent="0.25">
      <c r="A429" s="7"/>
    </row>
    <row r="430" spans="1:1" ht="15.75" customHeight="1" x14ac:dyDescent="0.25">
      <c r="A430" s="7"/>
    </row>
    <row r="431" spans="1:1" ht="15.75" customHeight="1" x14ac:dyDescent="0.25">
      <c r="A431" s="7"/>
    </row>
    <row r="432" spans="1:1" ht="15.75" customHeight="1" x14ac:dyDescent="0.25">
      <c r="A432" s="7"/>
    </row>
    <row r="433" spans="1:1" ht="15.75" customHeight="1" x14ac:dyDescent="0.25">
      <c r="A433" s="7"/>
    </row>
    <row r="434" spans="1:1" ht="15.75" customHeight="1" x14ac:dyDescent="0.25">
      <c r="A434" s="7"/>
    </row>
    <row r="435" spans="1:1" ht="15.75" customHeight="1" x14ac:dyDescent="0.25">
      <c r="A435" s="7"/>
    </row>
    <row r="436" spans="1:1" ht="15.75" customHeight="1" x14ac:dyDescent="0.25">
      <c r="A436" s="7"/>
    </row>
    <row r="437" spans="1:1" ht="15.75" customHeight="1" x14ac:dyDescent="0.25">
      <c r="A437" s="7"/>
    </row>
    <row r="438" spans="1:1" ht="15.75" customHeight="1" x14ac:dyDescent="0.25">
      <c r="A438" s="7"/>
    </row>
    <row r="439" spans="1:1" ht="15.75" customHeight="1" x14ac:dyDescent="0.25">
      <c r="A439" s="7"/>
    </row>
    <row r="440" spans="1:1" ht="15.75" customHeight="1" x14ac:dyDescent="0.25">
      <c r="A440" s="7"/>
    </row>
    <row r="441" spans="1:1" ht="15.75" customHeight="1" x14ac:dyDescent="0.25">
      <c r="A441" s="7"/>
    </row>
    <row r="442" spans="1:1" ht="15.75" customHeight="1" x14ac:dyDescent="0.25">
      <c r="A442" s="7"/>
    </row>
    <row r="443" spans="1:1" ht="15.75" customHeight="1" x14ac:dyDescent="0.25">
      <c r="A443" s="7"/>
    </row>
    <row r="444" spans="1:1" ht="15.75" customHeight="1" x14ac:dyDescent="0.25">
      <c r="A444" s="7"/>
    </row>
    <row r="445" spans="1:1" ht="15.75" customHeight="1" x14ac:dyDescent="0.25">
      <c r="A445" s="7"/>
    </row>
    <row r="446" spans="1:1" ht="15.75" customHeight="1" x14ac:dyDescent="0.25">
      <c r="A446" s="7"/>
    </row>
    <row r="447" spans="1:1" ht="15.75" customHeight="1" x14ac:dyDescent="0.25">
      <c r="A447" s="7"/>
    </row>
    <row r="448" spans="1:1" ht="15.75" customHeight="1" x14ac:dyDescent="0.25">
      <c r="A448" s="7"/>
    </row>
    <row r="449" spans="1:1" ht="15.75" customHeight="1" x14ac:dyDescent="0.25">
      <c r="A449" s="7"/>
    </row>
    <row r="450" spans="1:1" ht="15.75" customHeight="1" x14ac:dyDescent="0.25">
      <c r="A450" s="7"/>
    </row>
    <row r="451" spans="1:1" ht="15.75" customHeight="1" x14ac:dyDescent="0.25">
      <c r="A451" s="7"/>
    </row>
    <row r="452" spans="1:1" ht="15.75" customHeight="1" x14ac:dyDescent="0.25">
      <c r="A452" s="7"/>
    </row>
    <row r="453" spans="1:1" ht="15.75" customHeight="1" x14ac:dyDescent="0.25">
      <c r="A453" s="7"/>
    </row>
    <row r="454" spans="1:1" ht="15.75" customHeight="1" x14ac:dyDescent="0.25">
      <c r="A454" s="7"/>
    </row>
    <row r="455" spans="1:1" ht="15.75" customHeight="1" x14ac:dyDescent="0.25">
      <c r="A455" s="7"/>
    </row>
    <row r="456" spans="1:1" ht="15.75" customHeight="1" x14ac:dyDescent="0.25">
      <c r="A456" s="7"/>
    </row>
    <row r="457" spans="1:1" ht="15.75" customHeight="1" x14ac:dyDescent="0.25">
      <c r="A457" s="7"/>
    </row>
    <row r="458" spans="1:1" ht="15.75" customHeight="1" x14ac:dyDescent="0.25">
      <c r="A458" s="7"/>
    </row>
    <row r="459" spans="1:1" ht="15.75" customHeight="1" x14ac:dyDescent="0.25">
      <c r="A459" s="7"/>
    </row>
    <row r="460" spans="1:1" ht="15.75" customHeight="1" x14ac:dyDescent="0.25">
      <c r="A460" s="7"/>
    </row>
    <row r="461" spans="1:1" ht="15.75" customHeight="1" x14ac:dyDescent="0.25">
      <c r="A461" s="7"/>
    </row>
    <row r="462" spans="1:1" ht="15.75" customHeight="1" x14ac:dyDescent="0.25">
      <c r="A462" s="7"/>
    </row>
    <row r="463" spans="1:1" ht="15.75" customHeight="1" x14ac:dyDescent="0.25">
      <c r="A463" s="7"/>
    </row>
    <row r="464" spans="1:1" ht="15.75" customHeight="1" x14ac:dyDescent="0.25">
      <c r="A464" s="7"/>
    </row>
    <row r="465" spans="1:1" ht="15.75" customHeight="1" x14ac:dyDescent="0.25">
      <c r="A465" s="7"/>
    </row>
    <row r="466" spans="1:1" ht="15.75" customHeight="1" x14ac:dyDescent="0.25">
      <c r="A466" s="7"/>
    </row>
    <row r="467" spans="1:1" ht="15.75" customHeight="1" x14ac:dyDescent="0.25">
      <c r="A467" s="7"/>
    </row>
    <row r="468" spans="1:1" ht="15.75" customHeight="1" x14ac:dyDescent="0.25">
      <c r="A468" s="7"/>
    </row>
    <row r="469" spans="1:1" ht="15.75" customHeight="1" x14ac:dyDescent="0.25">
      <c r="A469" s="7"/>
    </row>
    <row r="470" spans="1:1" ht="15.75" customHeight="1" x14ac:dyDescent="0.25">
      <c r="A470" s="7"/>
    </row>
    <row r="471" spans="1:1" ht="15.75" customHeight="1" x14ac:dyDescent="0.25">
      <c r="A471" s="7"/>
    </row>
    <row r="472" spans="1:1" ht="15.75" customHeight="1" x14ac:dyDescent="0.25">
      <c r="A472" s="7"/>
    </row>
    <row r="473" spans="1:1" ht="15.75" customHeight="1" x14ac:dyDescent="0.25">
      <c r="A473" s="7"/>
    </row>
    <row r="474" spans="1:1" ht="15.75" customHeight="1" x14ac:dyDescent="0.25">
      <c r="A474" s="7"/>
    </row>
    <row r="475" spans="1:1" ht="15.75" customHeight="1" x14ac:dyDescent="0.25">
      <c r="A475" s="7"/>
    </row>
    <row r="476" spans="1:1" ht="15.75" customHeight="1" x14ac:dyDescent="0.25">
      <c r="A476" s="7"/>
    </row>
    <row r="477" spans="1:1" ht="15.75" customHeight="1" x14ac:dyDescent="0.25">
      <c r="A477" s="7"/>
    </row>
    <row r="478" spans="1:1" ht="15.75" customHeight="1" x14ac:dyDescent="0.25">
      <c r="A478" s="7"/>
    </row>
    <row r="479" spans="1:1" ht="15.75" customHeight="1" x14ac:dyDescent="0.25">
      <c r="A479" s="7"/>
    </row>
    <row r="480" spans="1:1" ht="15.75" customHeight="1" x14ac:dyDescent="0.25">
      <c r="A480" s="7"/>
    </row>
    <row r="481" spans="1:1" ht="15.75" customHeight="1" x14ac:dyDescent="0.25">
      <c r="A481" s="7"/>
    </row>
    <row r="482" spans="1:1" ht="15.75" customHeight="1" x14ac:dyDescent="0.25">
      <c r="A482" s="7"/>
    </row>
    <row r="483" spans="1:1" ht="15.75" customHeight="1" x14ac:dyDescent="0.25">
      <c r="A483" s="7"/>
    </row>
    <row r="484" spans="1:1" ht="15.75" customHeight="1" x14ac:dyDescent="0.25">
      <c r="A484" s="7"/>
    </row>
    <row r="485" spans="1:1" ht="15.75" customHeight="1" x14ac:dyDescent="0.25">
      <c r="A485" s="7"/>
    </row>
    <row r="486" spans="1:1" ht="15.75" customHeight="1" x14ac:dyDescent="0.25">
      <c r="A486" s="7"/>
    </row>
    <row r="487" spans="1:1" ht="15.75" customHeight="1" x14ac:dyDescent="0.25">
      <c r="A487" s="7"/>
    </row>
    <row r="488" spans="1:1" ht="15.75" customHeight="1" x14ac:dyDescent="0.25">
      <c r="A488" s="7"/>
    </row>
    <row r="489" spans="1:1" ht="15.75" customHeight="1" x14ac:dyDescent="0.25">
      <c r="A489" s="7"/>
    </row>
    <row r="490" spans="1:1" ht="15.75" customHeight="1" x14ac:dyDescent="0.25">
      <c r="A490" s="7"/>
    </row>
    <row r="491" spans="1:1" ht="15.75" customHeight="1" x14ac:dyDescent="0.25">
      <c r="A491" s="7"/>
    </row>
    <row r="492" spans="1:1" ht="15.75" customHeight="1" x14ac:dyDescent="0.25">
      <c r="A492" s="7"/>
    </row>
    <row r="493" spans="1:1" ht="15.75" customHeight="1" x14ac:dyDescent="0.25">
      <c r="A493" s="7"/>
    </row>
    <row r="494" spans="1:1" ht="15.75" customHeight="1" x14ac:dyDescent="0.25">
      <c r="A494" s="7"/>
    </row>
    <row r="495" spans="1:1" ht="15.75" customHeight="1" x14ac:dyDescent="0.25">
      <c r="A495" s="7"/>
    </row>
    <row r="496" spans="1:1" ht="15.75" customHeight="1" x14ac:dyDescent="0.25">
      <c r="A496" s="7"/>
    </row>
    <row r="497" spans="1:1" ht="15.75" customHeight="1" x14ac:dyDescent="0.25">
      <c r="A497" s="7"/>
    </row>
    <row r="498" spans="1:1" ht="15.75" customHeight="1" x14ac:dyDescent="0.25">
      <c r="A498" s="7"/>
    </row>
    <row r="499" spans="1:1" ht="15.75" customHeight="1" x14ac:dyDescent="0.25">
      <c r="A499" s="7"/>
    </row>
    <row r="500" spans="1:1" ht="15.75" customHeight="1" x14ac:dyDescent="0.25">
      <c r="A500" s="7"/>
    </row>
    <row r="501" spans="1:1" ht="15.75" customHeight="1" x14ac:dyDescent="0.25">
      <c r="A501" s="7"/>
    </row>
    <row r="502" spans="1:1" ht="15.75" customHeight="1" x14ac:dyDescent="0.25">
      <c r="A502" s="7"/>
    </row>
    <row r="503" spans="1:1" ht="15.75" customHeight="1" x14ac:dyDescent="0.25">
      <c r="A503" s="7"/>
    </row>
    <row r="504" spans="1:1" ht="15.75" customHeight="1" x14ac:dyDescent="0.25">
      <c r="A504" s="7"/>
    </row>
    <row r="505" spans="1:1" ht="15.75" customHeight="1" x14ac:dyDescent="0.25">
      <c r="A505" s="7"/>
    </row>
    <row r="506" spans="1:1" ht="15.75" customHeight="1" x14ac:dyDescent="0.25">
      <c r="A506" s="7"/>
    </row>
    <row r="507" spans="1:1" ht="15.75" customHeight="1" x14ac:dyDescent="0.25">
      <c r="A507" s="7"/>
    </row>
    <row r="508" spans="1:1" ht="15.75" customHeight="1" x14ac:dyDescent="0.25">
      <c r="A508" s="7"/>
    </row>
    <row r="509" spans="1:1" ht="15.75" customHeight="1" x14ac:dyDescent="0.25">
      <c r="A509" s="7"/>
    </row>
    <row r="510" spans="1:1" ht="15.75" customHeight="1" x14ac:dyDescent="0.25">
      <c r="A510" s="7"/>
    </row>
    <row r="511" spans="1:1" ht="15.75" customHeight="1" x14ac:dyDescent="0.25">
      <c r="A511" s="7"/>
    </row>
    <row r="512" spans="1:1" ht="15.75" customHeight="1" x14ac:dyDescent="0.25">
      <c r="A512" s="7"/>
    </row>
    <row r="513" spans="1:1" ht="15.75" customHeight="1" x14ac:dyDescent="0.25">
      <c r="A513" s="7"/>
    </row>
    <row r="514" spans="1:1" ht="15.75" customHeight="1" x14ac:dyDescent="0.25">
      <c r="A514" s="7"/>
    </row>
    <row r="515" spans="1:1" ht="15.75" customHeight="1" x14ac:dyDescent="0.25">
      <c r="A515" s="7"/>
    </row>
    <row r="516" spans="1:1" ht="15.75" customHeight="1" x14ac:dyDescent="0.25">
      <c r="A516" s="7"/>
    </row>
    <row r="517" spans="1:1" ht="15.75" customHeight="1" x14ac:dyDescent="0.25">
      <c r="A517" s="7"/>
    </row>
    <row r="518" spans="1:1" ht="15.75" customHeight="1" x14ac:dyDescent="0.25">
      <c r="A518" s="7"/>
    </row>
    <row r="519" spans="1:1" ht="15.75" customHeight="1" x14ac:dyDescent="0.25">
      <c r="A519" s="7"/>
    </row>
    <row r="520" spans="1:1" ht="15.75" customHeight="1" x14ac:dyDescent="0.25">
      <c r="A520" s="7"/>
    </row>
    <row r="521" spans="1:1" ht="15.75" customHeight="1" x14ac:dyDescent="0.25">
      <c r="A521" s="7"/>
    </row>
    <row r="522" spans="1:1" ht="15.75" customHeight="1" x14ac:dyDescent="0.25">
      <c r="A522" s="7"/>
    </row>
    <row r="523" spans="1:1" ht="15.75" customHeight="1" x14ac:dyDescent="0.25">
      <c r="A523" s="7"/>
    </row>
    <row r="524" spans="1:1" ht="15.75" customHeight="1" x14ac:dyDescent="0.25">
      <c r="A524" s="7"/>
    </row>
    <row r="525" spans="1:1" ht="15.75" customHeight="1" x14ac:dyDescent="0.25">
      <c r="A525" s="7"/>
    </row>
    <row r="526" spans="1:1" ht="15.75" customHeight="1" x14ac:dyDescent="0.25">
      <c r="A526" s="7"/>
    </row>
    <row r="527" spans="1:1" ht="15.75" customHeight="1" x14ac:dyDescent="0.25">
      <c r="A527" s="7"/>
    </row>
    <row r="528" spans="1:1" ht="15.75" customHeight="1" x14ac:dyDescent="0.25">
      <c r="A528" s="7"/>
    </row>
    <row r="529" spans="1:1" ht="15.75" customHeight="1" x14ac:dyDescent="0.25">
      <c r="A529" s="7"/>
    </row>
    <row r="530" spans="1:1" ht="15.75" customHeight="1" x14ac:dyDescent="0.25">
      <c r="A530" s="7"/>
    </row>
    <row r="531" spans="1:1" ht="15.75" customHeight="1" x14ac:dyDescent="0.25">
      <c r="A531" s="7"/>
    </row>
    <row r="532" spans="1:1" ht="15.75" customHeight="1" x14ac:dyDescent="0.25">
      <c r="A532" s="7"/>
    </row>
    <row r="533" spans="1:1" ht="15.75" customHeight="1" x14ac:dyDescent="0.25">
      <c r="A533" s="7"/>
    </row>
    <row r="534" spans="1:1" ht="15.75" customHeight="1" x14ac:dyDescent="0.25">
      <c r="A534" s="7"/>
    </row>
    <row r="535" spans="1:1" ht="15.75" customHeight="1" x14ac:dyDescent="0.25">
      <c r="A535" s="7"/>
    </row>
    <row r="536" spans="1:1" ht="15.75" customHeight="1" x14ac:dyDescent="0.25">
      <c r="A536" s="7"/>
    </row>
    <row r="537" spans="1:1" ht="15.75" customHeight="1" x14ac:dyDescent="0.25">
      <c r="A537" s="7"/>
    </row>
    <row r="538" spans="1:1" ht="15.75" customHeight="1" x14ac:dyDescent="0.25">
      <c r="A538" s="7"/>
    </row>
    <row r="539" spans="1:1" ht="15.75" customHeight="1" x14ac:dyDescent="0.25">
      <c r="A539" s="7"/>
    </row>
    <row r="540" spans="1:1" ht="15.75" customHeight="1" x14ac:dyDescent="0.25">
      <c r="A540" s="7"/>
    </row>
    <row r="541" spans="1:1" ht="15.75" customHeight="1" x14ac:dyDescent="0.25">
      <c r="A541" s="7"/>
    </row>
    <row r="542" spans="1:1" ht="15.75" customHeight="1" x14ac:dyDescent="0.25">
      <c r="A542" s="7"/>
    </row>
    <row r="543" spans="1:1" ht="15.75" customHeight="1" x14ac:dyDescent="0.25">
      <c r="A543" s="7"/>
    </row>
    <row r="544" spans="1:1" ht="15.75" customHeight="1" x14ac:dyDescent="0.25">
      <c r="A544" s="7"/>
    </row>
    <row r="545" spans="1:1" ht="15.75" customHeight="1" x14ac:dyDescent="0.25">
      <c r="A545" s="7"/>
    </row>
    <row r="546" spans="1:1" ht="15.75" customHeight="1" x14ac:dyDescent="0.25">
      <c r="A546" s="7"/>
    </row>
    <row r="547" spans="1:1" ht="15.75" customHeight="1" x14ac:dyDescent="0.25">
      <c r="A547" s="7"/>
    </row>
    <row r="548" spans="1:1" ht="15.75" customHeight="1" x14ac:dyDescent="0.25">
      <c r="A548" s="7"/>
    </row>
    <row r="549" spans="1:1" ht="15.75" customHeight="1" x14ac:dyDescent="0.25">
      <c r="A549" s="7"/>
    </row>
    <row r="550" spans="1:1" ht="15.75" customHeight="1" x14ac:dyDescent="0.25">
      <c r="A550" s="7"/>
    </row>
    <row r="551" spans="1:1" ht="15.75" customHeight="1" x14ac:dyDescent="0.25">
      <c r="A551" s="7"/>
    </row>
    <row r="552" spans="1:1" ht="15.75" customHeight="1" x14ac:dyDescent="0.25">
      <c r="A552" s="7"/>
    </row>
    <row r="553" spans="1:1" ht="15.75" customHeight="1" x14ac:dyDescent="0.25">
      <c r="A553" s="7"/>
    </row>
    <row r="554" spans="1:1" ht="15.75" customHeight="1" x14ac:dyDescent="0.25">
      <c r="A554" s="7"/>
    </row>
    <row r="555" spans="1:1" ht="15.75" customHeight="1" x14ac:dyDescent="0.25">
      <c r="A555" s="7"/>
    </row>
    <row r="556" spans="1:1" ht="15.75" customHeight="1" x14ac:dyDescent="0.25">
      <c r="A556" s="7"/>
    </row>
    <row r="557" spans="1:1" ht="15.75" customHeight="1" x14ac:dyDescent="0.25">
      <c r="A557" s="7"/>
    </row>
    <row r="558" spans="1:1" ht="15.75" customHeight="1" x14ac:dyDescent="0.25">
      <c r="A558" s="7"/>
    </row>
    <row r="559" spans="1:1" ht="15.75" customHeight="1" x14ac:dyDescent="0.25">
      <c r="A559" s="7"/>
    </row>
    <row r="560" spans="1:1" ht="15.75" customHeight="1" x14ac:dyDescent="0.25">
      <c r="A560" s="7"/>
    </row>
    <row r="561" spans="1:1" ht="15.75" customHeight="1" x14ac:dyDescent="0.25">
      <c r="A561" s="7"/>
    </row>
    <row r="562" spans="1:1" ht="15.75" customHeight="1" x14ac:dyDescent="0.25">
      <c r="A562" s="7"/>
    </row>
    <row r="563" spans="1:1" ht="15.75" customHeight="1" x14ac:dyDescent="0.25">
      <c r="A563" s="7"/>
    </row>
    <row r="564" spans="1:1" ht="15.75" customHeight="1" x14ac:dyDescent="0.25">
      <c r="A564" s="7"/>
    </row>
    <row r="565" spans="1:1" ht="15.75" customHeight="1" x14ac:dyDescent="0.25">
      <c r="A565" s="7"/>
    </row>
    <row r="566" spans="1:1" ht="15.75" customHeight="1" x14ac:dyDescent="0.25">
      <c r="A566" s="7"/>
    </row>
    <row r="567" spans="1:1" ht="15.75" customHeight="1" x14ac:dyDescent="0.25">
      <c r="A567" s="7"/>
    </row>
    <row r="568" spans="1:1" ht="15.75" customHeight="1" x14ac:dyDescent="0.25">
      <c r="A568" s="7"/>
    </row>
    <row r="569" spans="1:1" ht="15.75" customHeight="1" x14ac:dyDescent="0.25">
      <c r="A569" s="7"/>
    </row>
    <row r="570" spans="1:1" ht="15.75" customHeight="1" x14ac:dyDescent="0.25">
      <c r="A570" s="7"/>
    </row>
    <row r="571" spans="1:1" ht="15.75" customHeight="1" x14ac:dyDescent="0.25">
      <c r="A571" s="7"/>
    </row>
    <row r="572" spans="1:1" ht="15.75" customHeight="1" x14ac:dyDescent="0.25">
      <c r="A572" s="7"/>
    </row>
    <row r="573" spans="1:1" ht="15.75" customHeight="1" x14ac:dyDescent="0.25">
      <c r="A573" s="7"/>
    </row>
    <row r="574" spans="1:1" ht="15.75" customHeight="1" x14ac:dyDescent="0.25">
      <c r="A574" s="7"/>
    </row>
    <row r="575" spans="1:1" ht="15.75" customHeight="1" x14ac:dyDescent="0.25">
      <c r="A575" s="7"/>
    </row>
    <row r="576" spans="1:1" ht="15.75" customHeight="1" x14ac:dyDescent="0.25">
      <c r="A576" s="7"/>
    </row>
    <row r="577" spans="1:1" ht="15.75" customHeight="1" x14ac:dyDescent="0.25">
      <c r="A577" s="7"/>
    </row>
    <row r="578" spans="1:1" ht="15.75" customHeight="1" x14ac:dyDescent="0.25">
      <c r="A578" s="7"/>
    </row>
    <row r="579" spans="1:1" ht="15.75" customHeight="1" x14ac:dyDescent="0.25">
      <c r="A579" s="7"/>
    </row>
    <row r="580" spans="1:1" ht="15.75" customHeight="1" x14ac:dyDescent="0.25">
      <c r="A580" s="7"/>
    </row>
    <row r="581" spans="1:1" ht="15.75" customHeight="1" x14ac:dyDescent="0.25">
      <c r="A581" s="7"/>
    </row>
    <row r="582" spans="1:1" ht="15.75" customHeight="1" x14ac:dyDescent="0.25">
      <c r="A582" s="7"/>
    </row>
    <row r="583" spans="1:1" ht="15.75" customHeight="1" x14ac:dyDescent="0.25">
      <c r="A583" s="7"/>
    </row>
    <row r="584" spans="1:1" ht="15.75" customHeight="1" x14ac:dyDescent="0.25">
      <c r="A584" s="7"/>
    </row>
    <row r="585" spans="1:1" ht="15.75" customHeight="1" x14ac:dyDescent="0.25">
      <c r="A585" s="7"/>
    </row>
    <row r="586" spans="1:1" ht="15.75" customHeight="1" x14ac:dyDescent="0.25">
      <c r="A586" s="7"/>
    </row>
    <row r="587" spans="1:1" ht="15.75" customHeight="1" x14ac:dyDescent="0.25">
      <c r="A587" s="7"/>
    </row>
    <row r="588" spans="1:1" ht="15.75" customHeight="1" x14ac:dyDescent="0.25">
      <c r="A588" s="7"/>
    </row>
    <row r="589" spans="1:1" ht="15.75" customHeight="1" x14ac:dyDescent="0.25">
      <c r="A589" s="7"/>
    </row>
    <row r="590" spans="1:1" ht="15.75" customHeight="1" x14ac:dyDescent="0.25">
      <c r="A590" s="7"/>
    </row>
    <row r="591" spans="1:1" ht="15.75" customHeight="1" x14ac:dyDescent="0.25">
      <c r="A591" s="7"/>
    </row>
    <row r="592" spans="1:1" ht="15.75" customHeight="1" x14ac:dyDescent="0.25">
      <c r="A592" s="7"/>
    </row>
    <row r="593" spans="1:1" ht="15.75" customHeight="1" x14ac:dyDescent="0.25">
      <c r="A593" s="7"/>
    </row>
    <row r="594" spans="1:1" ht="15.75" customHeight="1" x14ac:dyDescent="0.25">
      <c r="A594" s="7"/>
    </row>
    <row r="595" spans="1:1" ht="15.75" customHeight="1" x14ac:dyDescent="0.25">
      <c r="A595" s="7"/>
    </row>
    <row r="596" spans="1:1" ht="15.75" customHeight="1" x14ac:dyDescent="0.25">
      <c r="A596" s="7"/>
    </row>
    <row r="597" spans="1:1" ht="15.75" customHeight="1" x14ac:dyDescent="0.25">
      <c r="A597" s="7"/>
    </row>
    <row r="598" spans="1:1" ht="15.75" customHeight="1" x14ac:dyDescent="0.25">
      <c r="A598" s="7"/>
    </row>
    <row r="599" spans="1:1" ht="15.75" customHeight="1" x14ac:dyDescent="0.25">
      <c r="A599" s="7"/>
    </row>
    <row r="600" spans="1:1" ht="15.75" customHeight="1" x14ac:dyDescent="0.25">
      <c r="A600" s="7"/>
    </row>
    <row r="601" spans="1:1" ht="15.75" customHeight="1" x14ac:dyDescent="0.25">
      <c r="A601" s="7"/>
    </row>
    <row r="602" spans="1:1" ht="15.75" customHeight="1" x14ac:dyDescent="0.25">
      <c r="A602" s="7"/>
    </row>
    <row r="603" spans="1:1" ht="15.75" customHeight="1" x14ac:dyDescent="0.25">
      <c r="A603" s="7"/>
    </row>
    <row r="604" spans="1:1" ht="15.75" customHeight="1" x14ac:dyDescent="0.25">
      <c r="A604" s="7"/>
    </row>
    <row r="605" spans="1:1" ht="15.75" customHeight="1" x14ac:dyDescent="0.25">
      <c r="A605" s="7"/>
    </row>
    <row r="606" spans="1:1" ht="15.75" customHeight="1" x14ac:dyDescent="0.25">
      <c r="A606" s="7"/>
    </row>
    <row r="607" spans="1:1" ht="15.75" customHeight="1" x14ac:dyDescent="0.25">
      <c r="A607" s="7"/>
    </row>
    <row r="608" spans="1:1" ht="15.75" customHeight="1" x14ac:dyDescent="0.25">
      <c r="A608" s="7"/>
    </row>
    <row r="609" spans="1:1" ht="15.75" customHeight="1" x14ac:dyDescent="0.25">
      <c r="A609" s="7"/>
    </row>
    <row r="610" spans="1:1" ht="15.75" customHeight="1" x14ac:dyDescent="0.25">
      <c r="A610" s="7"/>
    </row>
    <row r="611" spans="1:1" ht="15.75" customHeight="1" x14ac:dyDescent="0.25">
      <c r="A611" s="7"/>
    </row>
    <row r="612" spans="1:1" ht="15.75" customHeight="1" x14ac:dyDescent="0.25">
      <c r="A612" s="7"/>
    </row>
    <row r="613" spans="1:1" ht="15.75" customHeight="1" x14ac:dyDescent="0.25">
      <c r="A613" s="7"/>
    </row>
    <row r="614" spans="1:1" ht="15.75" customHeight="1" x14ac:dyDescent="0.25">
      <c r="A614" s="7"/>
    </row>
    <row r="615" spans="1:1" ht="15.75" customHeight="1" x14ac:dyDescent="0.25">
      <c r="A615" s="7"/>
    </row>
    <row r="616" spans="1:1" ht="15.75" customHeight="1" x14ac:dyDescent="0.25">
      <c r="A616" s="7"/>
    </row>
    <row r="617" spans="1:1" ht="15.75" customHeight="1" x14ac:dyDescent="0.25">
      <c r="A617" s="7"/>
    </row>
    <row r="618" spans="1:1" ht="15.75" customHeight="1" x14ac:dyDescent="0.25">
      <c r="A618" s="7"/>
    </row>
    <row r="619" spans="1:1" ht="15.75" customHeight="1" x14ac:dyDescent="0.25">
      <c r="A619" s="7"/>
    </row>
    <row r="620" spans="1:1" ht="15.75" customHeight="1" x14ac:dyDescent="0.25">
      <c r="A620" s="7"/>
    </row>
    <row r="621" spans="1:1" ht="15.75" customHeight="1" x14ac:dyDescent="0.25">
      <c r="A621" s="7"/>
    </row>
    <row r="622" spans="1:1" ht="15.75" customHeight="1" x14ac:dyDescent="0.25">
      <c r="A622" s="7"/>
    </row>
    <row r="623" spans="1:1" ht="15.75" customHeight="1" x14ac:dyDescent="0.25">
      <c r="A623" s="7"/>
    </row>
    <row r="624" spans="1:1" ht="15.75" customHeight="1" x14ac:dyDescent="0.25">
      <c r="A624" s="7"/>
    </row>
    <row r="625" spans="1:1" ht="15.75" customHeight="1" x14ac:dyDescent="0.25">
      <c r="A625" s="7"/>
    </row>
    <row r="626" spans="1:1" ht="15.75" customHeight="1" x14ac:dyDescent="0.25">
      <c r="A626" s="7"/>
    </row>
    <row r="627" spans="1:1" ht="15.75" customHeight="1" x14ac:dyDescent="0.25">
      <c r="A627" s="7"/>
    </row>
    <row r="628" spans="1:1" ht="15.75" customHeight="1" x14ac:dyDescent="0.25">
      <c r="A628" s="7"/>
    </row>
    <row r="629" spans="1:1" ht="15.75" customHeight="1" x14ac:dyDescent="0.25">
      <c r="A629" s="7"/>
    </row>
    <row r="630" spans="1:1" ht="15.75" customHeight="1" x14ac:dyDescent="0.25">
      <c r="A630" s="7"/>
    </row>
    <row r="631" spans="1:1" ht="15.75" customHeight="1" x14ac:dyDescent="0.25">
      <c r="A631" s="7"/>
    </row>
    <row r="632" spans="1:1" ht="15.75" customHeight="1" x14ac:dyDescent="0.25">
      <c r="A632" s="7"/>
    </row>
    <row r="633" spans="1:1" ht="15.75" customHeight="1" x14ac:dyDescent="0.25">
      <c r="A633" s="7"/>
    </row>
    <row r="634" spans="1:1" ht="15.75" customHeight="1" x14ac:dyDescent="0.25">
      <c r="A634" s="7"/>
    </row>
    <row r="635" spans="1:1" ht="15.75" customHeight="1" x14ac:dyDescent="0.25">
      <c r="A635" s="7"/>
    </row>
    <row r="636" spans="1:1" ht="15.75" customHeight="1" x14ac:dyDescent="0.25">
      <c r="A636" s="7"/>
    </row>
    <row r="637" spans="1:1" ht="15.75" customHeight="1" x14ac:dyDescent="0.25">
      <c r="A637" s="7"/>
    </row>
    <row r="638" spans="1:1" ht="15.75" customHeight="1" x14ac:dyDescent="0.25">
      <c r="A638" s="7"/>
    </row>
    <row r="639" spans="1:1" ht="15.75" customHeight="1" x14ac:dyDescent="0.25">
      <c r="A639" s="7"/>
    </row>
    <row r="640" spans="1:1" ht="15.75" customHeight="1" x14ac:dyDescent="0.25">
      <c r="A640" s="7"/>
    </row>
    <row r="641" spans="1:1" ht="15.75" customHeight="1" x14ac:dyDescent="0.25">
      <c r="A641" s="7"/>
    </row>
    <row r="642" spans="1:1" ht="15.75" customHeight="1" x14ac:dyDescent="0.25">
      <c r="A642" s="7"/>
    </row>
    <row r="643" spans="1:1" ht="15.75" customHeight="1" x14ac:dyDescent="0.25">
      <c r="A643" s="7"/>
    </row>
    <row r="644" spans="1:1" ht="15.75" customHeight="1" x14ac:dyDescent="0.25">
      <c r="A644" s="7"/>
    </row>
    <row r="645" spans="1:1" ht="15.75" customHeight="1" x14ac:dyDescent="0.25">
      <c r="A645" s="7"/>
    </row>
    <row r="646" spans="1:1" ht="15.75" customHeight="1" x14ac:dyDescent="0.25">
      <c r="A646" s="7"/>
    </row>
    <row r="647" spans="1:1" ht="15.75" customHeight="1" x14ac:dyDescent="0.25">
      <c r="A647" s="7"/>
    </row>
    <row r="648" spans="1:1" ht="15.75" customHeight="1" x14ac:dyDescent="0.25">
      <c r="A648" s="7"/>
    </row>
    <row r="649" spans="1:1" ht="15.75" customHeight="1" x14ac:dyDescent="0.25">
      <c r="A649" s="7"/>
    </row>
    <row r="650" spans="1:1" ht="15.75" customHeight="1" x14ac:dyDescent="0.25">
      <c r="A650" s="7"/>
    </row>
    <row r="651" spans="1:1" ht="15.75" customHeight="1" x14ac:dyDescent="0.25">
      <c r="A651" s="7"/>
    </row>
    <row r="652" spans="1:1" ht="15.75" customHeight="1" x14ac:dyDescent="0.25">
      <c r="A652" s="7"/>
    </row>
    <row r="653" spans="1:1" ht="15.75" customHeight="1" x14ac:dyDescent="0.25">
      <c r="A653" s="7"/>
    </row>
    <row r="654" spans="1:1" ht="15.75" customHeight="1" x14ac:dyDescent="0.25">
      <c r="A654" s="7"/>
    </row>
    <row r="655" spans="1:1" ht="15.75" customHeight="1" x14ac:dyDescent="0.25">
      <c r="A655" s="7"/>
    </row>
    <row r="656" spans="1:1" ht="15.75" customHeight="1" x14ac:dyDescent="0.25">
      <c r="A656" s="7"/>
    </row>
    <row r="657" spans="1:1" ht="15.75" customHeight="1" x14ac:dyDescent="0.25">
      <c r="A657" s="7"/>
    </row>
    <row r="658" spans="1:1" ht="15.75" customHeight="1" x14ac:dyDescent="0.25">
      <c r="A658" s="7"/>
    </row>
    <row r="659" spans="1:1" ht="15.75" customHeight="1" x14ac:dyDescent="0.25">
      <c r="A659" s="7"/>
    </row>
    <row r="660" spans="1:1" ht="15.75" customHeight="1" x14ac:dyDescent="0.25">
      <c r="A660" s="7"/>
    </row>
    <row r="661" spans="1:1" ht="15.75" customHeight="1" x14ac:dyDescent="0.25">
      <c r="A661" s="7"/>
    </row>
    <row r="662" spans="1:1" ht="15.75" customHeight="1" x14ac:dyDescent="0.25">
      <c r="A662" s="7"/>
    </row>
    <row r="663" spans="1:1" ht="15.75" customHeight="1" x14ac:dyDescent="0.25">
      <c r="A663" s="7"/>
    </row>
    <row r="664" spans="1:1" ht="15.75" customHeight="1" x14ac:dyDescent="0.25">
      <c r="A664" s="7"/>
    </row>
    <row r="665" spans="1:1" ht="15.75" customHeight="1" x14ac:dyDescent="0.25">
      <c r="A665" s="7"/>
    </row>
    <row r="666" spans="1:1" ht="15.75" customHeight="1" x14ac:dyDescent="0.25">
      <c r="A666" s="7"/>
    </row>
    <row r="667" spans="1:1" ht="15.75" customHeight="1" x14ac:dyDescent="0.25">
      <c r="A667" s="7"/>
    </row>
    <row r="668" spans="1:1" ht="15.75" customHeight="1" x14ac:dyDescent="0.25">
      <c r="A668" s="7"/>
    </row>
    <row r="669" spans="1:1" ht="15.75" customHeight="1" x14ac:dyDescent="0.25">
      <c r="A669" s="7"/>
    </row>
    <row r="670" spans="1:1" ht="15.75" customHeight="1" x14ac:dyDescent="0.25">
      <c r="A670" s="7"/>
    </row>
    <row r="671" spans="1:1" ht="15.75" customHeight="1" x14ac:dyDescent="0.25">
      <c r="A671" s="7"/>
    </row>
    <row r="672" spans="1:1" ht="15.75" customHeight="1" x14ac:dyDescent="0.25">
      <c r="A672" s="7"/>
    </row>
    <row r="673" spans="1:1" ht="15.75" customHeight="1" x14ac:dyDescent="0.25">
      <c r="A673" s="7"/>
    </row>
    <row r="674" spans="1:1" ht="15.75" customHeight="1" x14ac:dyDescent="0.25">
      <c r="A674" s="7"/>
    </row>
    <row r="675" spans="1:1" ht="15.75" customHeight="1" x14ac:dyDescent="0.25">
      <c r="A675" s="7"/>
    </row>
    <row r="676" spans="1:1" ht="15.75" customHeight="1" x14ac:dyDescent="0.25">
      <c r="A676" s="7"/>
    </row>
    <row r="677" spans="1:1" ht="15.75" customHeight="1" x14ac:dyDescent="0.25">
      <c r="A677" s="7"/>
    </row>
    <row r="678" spans="1:1" ht="15.75" customHeight="1" x14ac:dyDescent="0.25">
      <c r="A678" s="7"/>
    </row>
    <row r="679" spans="1:1" ht="15.75" customHeight="1" x14ac:dyDescent="0.25">
      <c r="A679" s="7"/>
    </row>
    <row r="680" spans="1:1" ht="15.75" customHeight="1" x14ac:dyDescent="0.25">
      <c r="A680" s="7"/>
    </row>
    <row r="681" spans="1:1" ht="15.75" customHeight="1" x14ac:dyDescent="0.25">
      <c r="A681" s="7"/>
    </row>
    <row r="682" spans="1:1" ht="15.75" customHeight="1" x14ac:dyDescent="0.25">
      <c r="A682" s="7"/>
    </row>
    <row r="683" spans="1:1" ht="15.75" customHeight="1" x14ac:dyDescent="0.25">
      <c r="A683" s="7"/>
    </row>
    <row r="684" spans="1:1" ht="15.75" customHeight="1" x14ac:dyDescent="0.25">
      <c r="A684" s="7"/>
    </row>
    <row r="685" spans="1:1" ht="15.75" customHeight="1" x14ac:dyDescent="0.25">
      <c r="A685" s="7"/>
    </row>
    <row r="686" spans="1:1" ht="15.75" customHeight="1" x14ac:dyDescent="0.25">
      <c r="A686" s="7"/>
    </row>
    <row r="687" spans="1:1" ht="15.75" customHeight="1" x14ac:dyDescent="0.25">
      <c r="A687" s="7"/>
    </row>
    <row r="688" spans="1:1" ht="15.75" customHeight="1" x14ac:dyDescent="0.25">
      <c r="A688" s="7"/>
    </row>
    <row r="689" spans="1:1" ht="15.75" customHeight="1" x14ac:dyDescent="0.25">
      <c r="A689" s="7"/>
    </row>
    <row r="690" spans="1:1" ht="15.75" customHeight="1" x14ac:dyDescent="0.25">
      <c r="A690" s="7"/>
    </row>
    <row r="691" spans="1:1" ht="15.75" customHeight="1" x14ac:dyDescent="0.25">
      <c r="A691" s="7"/>
    </row>
    <row r="692" spans="1:1" ht="15.75" customHeight="1" x14ac:dyDescent="0.25">
      <c r="A692" s="7"/>
    </row>
    <row r="693" spans="1:1" ht="15.75" customHeight="1" x14ac:dyDescent="0.25">
      <c r="A693" s="7"/>
    </row>
    <row r="694" spans="1:1" ht="15.75" customHeight="1" x14ac:dyDescent="0.25">
      <c r="A694" s="7"/>
    </row>
    <row r="695" spans="1:1" ht="15.75" customHeight="1" x14ac:dyDescent="0.25">
      <c r="A695" s="7"/>
    </row>
    <row r="696" spans="1:1" ht="15.75" customHeight="1" x14ac:dyDescent="0.25">
      <c r="A696" s="7"/>
    </row>
    <row r="697" spans="1:1" ht="15.75" customHeight="1" x14ac:dyDescent="0.25">
      <c r="A697" s="7"/>
    </row>
    <row r="698" spans="1:1" ht="15.75" customHeight="1" x14ac:dyDescent="0.25">
      <c r="A698" s="7"/>
    </row>
    <row r="699" spans="1:1" ht="15.75" customHeight="1" x14ac:dyDescent="0.25">
      <c r="A699" s="7"/>
    </row>
    <row r="700" spans="1:1" ht="15.75" customHeight="1" x14ac:dyDescent="0.25">
      <c r="A700" s="7"/>
    </row>
    <row r="701" spans="1:1" ht="15.75" customHeight="1" x14ac:dyDescent="0.25">
      <c r="A701" s="7"/>
    </row>
    <row r="702" spans="1:1" ht="15.75" customHeight="1" x14ac:dyDescent="0.25">
      <c r="A702" s="7"/>
    </row>
    <row r="703" spans="1:1" ht="15.75" customHeight="1" x14ac:dyDescent="0.25">
      <c r="A703" s="7"/>
    </row>
    <row r="704" spans="1:1" ht="15.75" customHeight="1" x14ac:dyDescent="0.25">
      <c r="A704" s="7"/>
    </row>
    <row r="705" spans="1:1" ht="15.75" customHeight="1" x14ac:dyDescent="0.25">
      <c r="A705" s="7"/>
    </row>
    <row r="706" spans="1:1" ht="15.75" customHeight="1" x14ac:dyDescent="0.25">
      <c r="A706" s="7"/>
    </row>
    <row r="707" spans="1:1" ht="15.75" customHeight="1" x14ac:dyDescent="0.25">
      <c r="A707" s="7"/>
    </row>
    <row r="708" spans="1:1" ht="15.75" customHeight="1" x14ac:dyDescent="0.25">
      <c r="A708" s="7"/>
    </row>
    <row r="709" spans="1:1" ht="15.75" customHeight="1" x14ac:dyDescent="0.25">
      <c r="A709" s="7"/>
    </row>
    <row r="710" spans="1:1" ht="15.75" customHeight="1" x14ac:dyDescent="0.25">
      <c r="A710" s="7"/>
    </row>
    <row r="711" spans="1:1" ht="15.75" customHeight="1" x14ac:dyDescent="0.25">
      <c r="A711" s="7"/>
    </row>
    <row r="712" spans="1:1" ht="15.75" customHeight="1" x14ac:dyDescent="0.25">
      <c r="A712" s="7"/>
    </row>
    <row r="713" spans="1:1" ht="15.75" customHeight="1" x14ac:dyDescent="0.25">
      <c r="A713" s="7"/>
    </row>
    <row r="714" spans="1:1" ht="15.75" customHeight="1" x14ac:dyDescent="0.25">
      <c r="A714" s="7"/>
    </row>
    <row r="715" spans="1:1" ht="15.75" customHeight="1" x14ac:dyDescent="0.25">
      <c r="A715" s="7"/>
    </row>
    <row r="716" spans="1:1" ht="15.75" customHeight="1" x14ac:dyDescent="0.25">
      <c r="A716" s="7"/>
    </row>
    <row r="717" spans="1:1" ht="15.75" customHeight="1" x14ac:dyDescent="0.25">
      <c r="A717" s="7"/>
    </row>
    <row r="718" spans="1:1" ht="15.75" customHeight="1" x14ac:dyDescent="0.25">
      <c r="A718" s="7"/>
    </row>
    <row r="719" spans="1:1" ht="15.75" customHeight="1" x14ac:dyDescent="0.25">
      <c r="A719" s="7"/>
    </row>
    <row r="720" spans="1:1" ht="15.75" customHeight="1" x14ac:dyDescent="0.25">
      <c r="A720" s="7"/>
    </row>
    <row r="721" spans="1:1" ht="15.75" customHeight="1" x14ac:dyDescent="0.25">
      <c r="A721" s="7"/>
    </row>
    <row r="722" spans="1:1" ht="15.75" customHeight="1" x14ac:dyDescent="0.25">
      <c r="A722" s="7"/>
    </row>
    <row r="723" spans="1:1" ht="15.75" customHeight="1" x14ac:dyDescent="0.25">
      <c r="A723" s="7"/>
    </row>
    <row r="724" spans="1:1" ht="15.75" customHeight="1" x14ac:dyDescent="0.25">
      <c r="A724" s="7"/>
    </row>
    <row r="725" spans="1:1" ht="15.75" customHeight="1" x14ac:dyDescent="0.25">
      <c r="A725" s="7"/>
    </row>
    <row r="726" spans="1:1" ht="15.75" customHeight="1" x14ac:dyDescent="0.25">
      <c r="A726" s="7"/>
    </row>
    <row r="727" spans="1:1" ht="15.75" customHeight="1" x14ac:dyDescent="0.25">
      <c r="A727" s="7"/>
    </row>
    <row r="728" spans="1:1" ht="15.75" customHeight="1" x14ac:dyDescent="0.25">
      <c r="A728" s="7"/>
    </row>
    <row r="729" spans="1:1" ht="15.75" customHeight="1" x14ac:dyDescent="0.25">
      <c r="A729" s="7"/>
    </row>
    <row r="730" spans="1:1" ht="15.75" customHeight="1" x14ac:dyDescent="0.25">
      <c r="A730" s="7"/>
    </row>
    <row r="731" spans="1:1" ht="15.75" customHeight="1" x14ac:dyDescent="0.25">
      <c r="A731" s="7"/>
    </row>
    <row r="732" spans="1:1" ht="15.75" customHeight="1" x14ac:dyDescent="0.25">
      <c r="A732" s="7"/>
    </row>
    <row r="733" spans="1:1" ht="15.75" customHeight="1" x14ac:dyDescent="0.25">
      <c r="A733" s="7"/>
    </row>
    <row r="734" spans="1:1" ht="15.75" customHeight="1" x14ac:dyDescent="0.25">
      <c r="A734" s="7"/>
    </row>
    <row r="735" spans="1:1" ht="15.75" customHeight="1" x14ac:dyDescent="0.25">
      <c r="A735" s="7"/>
    </row>
    <row r="736" spans="1:1" ht="15.75" customHeight="1" x14ac:dyDescent="0.25">
      <c r="A736" s="7"/>
    </row>
    <row r="737" spans="1:1" ht="15.75" customHeight="1" x14ac:dyDescent="0.25">
      <c r="A737" s="7"/>
    </row>
    <row r="738" spans="1:1" ht="15.75" customHeight="1" x14ac:dyDescent="0.25">
      <c r="A738" s="7"/>
    </row>
    <row r="739" spans="1:1" ht="15.75" customHeight="1" x14ac:dyDescent="0.25">
      <c r="A739" s="7"/>
    </row>
    <row r="740" spans="1:1" ht="15.75" customHeight="1" x14ac:dyDescent="0.25">
      <c r="A740" s="7"/>
    </row>
    <row r="741" spans="1:1" ht="15.75" customHeight="1" x14ac:dyDescent="0.25">
      <c r="A741" s="7"/>
    </row>
    <row r="742" spans="1:1" ht="15.75" customHeight="1" x14ac:dyDescent="0.25">
      <c r="A742" s="7"/>
    </row>
    <row r="743" spans="1:1" ht="15.75" customHeight="1" x14ac:dyDescent="0.25">
      <c r="A743" s="7"/>
    </row>
    <row r="744" spans="1:1" ht="15.75" customHeight="1" x14ac:dyDescent="0.25">
      <c r="A744" s="7"/>
    </row>
    <row r="745" spans="1:1" ht="15.75" customHeight="1" x14ac:dyDescent="0.25">
      <c r="A745" s="7"/>
    </row>
    <row r="746" spans="1:1" ht="15.75" customHeight="1" x14ac:dyDescent="0.25">
      <c r="A746" s="7"/>
    </row>
    <row r="747" spans="1:1" ht="15.75" customHeight="1" x14ac:dyDescent="0.25">
      <c r="A747" s="7"/>
    </row>
    <row r="748" spans="1:1" ht="15.75" customHeight="1" x14ac:dyDescent="0.25">
      <c r="A748" s="7"/>
    </row>
    <row r="749" spans="1:1" ht="15.75" customHeight="1" x14ac:dyDescent="0.25">
      <c r="A749" s="7"/>
    </row>
    <row r="750" spans="1:1" ht="15.75" customHeight="1" x14ac:dyDescent="0.25">
      <c r="A750" s="7"/>
    </row>
    <row r="751" spans="1:1" ht="15.75" customHeight="1" x14ac:dyDescent="0.25">
      <c r="A751" s="7"/>
    </row>
    <row r="752" spans="1:1" ht="15.75" customHeight="1" x14ac:dyDescent="0.25">
      <c r="A752" s="7"/>
    </row>
    <row r="753" spans="1:1" ht="15.75" customHeight="1" x14ac:dyDescent="0.25">
      <c r="A753" s="7"/>
    </row>
    <row r="754" spans="1:1" ht="15.75" customHeight="1" x14ac:dyDescent="0.25">
      <c r="A754" s="7"/>
    </row>
    <row r="755" spans="1:1" ht="15.75" customHeight="1" x14ac:dyDescent="0.25">
      <c r="A755" s="7"/>
    </row>
    <row r="756" spans="1:1" ht="15.75" customHeight="1" x14ac:dyDescent="0.25">
      <c r="A756" s="7"/>
    </row>
    <row r="757" spans="1:1" ht="15.75" customHeight="1" x14ac:dyDescent="0.25">
      <c r="A757" s="7"/>
    </row>
    <row r="758" spans="1:1" ht="15.75" customHeight="1" x14ac:dyDescent="0.25">
      <c r="A758" s="7"/>
    </row>
    <row r="759" spans="1:1" ht="15.75" customHeight="1" x14ac:dyDescent="0.25">
      <c r="A759" s="7"/>
    </row>
    <row r="760" spans="1:1" ht="15.75" customHeight="1" x14ac:dyDescent="0.25">
      <c r="A760" s="7"/>
    </row>
    <row r="761" spans="1:1" ht="15.75" customHeight="1" x14ac:dyDescent="0.25">
      <c r="A761" s="7"/>
    </row>
    <row r="762" spans="1:1" ht="15.75" customHeight="1" x14ac:dyDescent="0.25">
      <c r="A762" s="7"/>
    </row>
    <row r="763" spans="1:1" ht="15.75" customHeight="1" x14ac:dyDescent="0.25">
      <c r="A763" s="7"/>
    </row>
    <row r="764" spans="1:1" ht="15.75" customHeight="1" x14ac:dyDescent="0.25">
      <c r="A764" s="7"/>
    </row>
    <row r="765" spans="1:1" ht="15.75" customHeight="1" x14ac:dyDescent="0.25">
      <c r="A765" s="7"/>
    </row>
    <row r="766" spans="1:1" ht="15.75" customHeight="1" x14ac:dyDescent="0.25">
      <c r="A766" s="7"/>
    </row>
    <row r="767" spans="1:1" ht="15.75" customHeight="1" x14ac:dyDescent="0.25">
      <c r="A767" s="7"/>
    </row>
    <row r="768" spans="1:1" ht="15.75" customHeight="1" x14ac:dyDescent="0.25">
      <c r="A768" s="7"/>
    </row>
    <row r="769" spans="1:1" ht="15.75" customHeight="1" x14ac:dyDescent="0.25">
      <c r="A769" s="7"/>
    </row>
    <row r="770" spans="1:1" ht="15.75" customHeight="1" x14ac:dyDescent="0.25">
      <c r="A770" s="7"/>
    </row>
    <row r="771" spans="1:1" ht="15.75" customHeight="1" x14ac:dyDescent="0.25">
      <c r="A771" s="7"/>
    </row>
    <row r="772" spans="1:1" ht="15.75" customHeight="1" x14ac:dyDescent="0.25">
      <c r="A772" s="7"/>
    </row>
    <row r="773" spans="1:1" ht="15.75" customHeight="1" x14ac:dyDescent="0.25">
      <c r="A773" s="7"/>
    </row>
    <row r="774" spans="1:1" ht="15.75" customHeight="1" x14ac:dyDescent="0.25">
      <c r="A774" s="7"/>
    </row>
    <row r="775" spans="1:1" ht="15.75" customHeight="1" x14ac:dyDescent="0.25">
      <c r="A775" s="7"/>
    </row>
    <row r="776" spans="1:1" ht="15.75" customHeight="1" x14ac:dyDescent="0.25">
      <c r="A776" s="7"/>
    </row>
    <row r="777" spans="1:1" ht="15.75" customHeight="1" x14ac:dyDescent="0.25">
      <c r="A777" s="7"/>
    </row>
    <row r="778" spans="1:1" ht="15.75" customHeight="1" x14ac:dyDescent="0.25">
      <c r="A778" s="7"/>
    </row>
    <row r="779" spans="1:1" ht="15.75" customHeight="1" x14ac:dyDescent="0.25">
      <c r="A779" s="7"/>
    </row>
    <row r="780" spans="1:1" ht="15.75" customHeight="1" x14ac:dyDescent="0.25">
      <c r="A780" s="7"/>
    </row>
    <row r="781" spans="1:1" ht="15.75" customHeight="1" x14ac:dyDescent="0.25">
      <c r="A781" s="7"/>
    </row>
    <row r="782" spans="1:1" ht="15.75" customHeight="1" x14ac:dyDescent="0.25">
      <c r="A782" s="7"/>
    </row>
    <row r="783" spans="1:1" ht="15.75" customHeight="1" x14ac:dyDescent="0.25">
      <c r="A783" s="7"/>
    </row>
    <row r="784" spans="1:1" ht="15.75" customHeight="1" x14ac:dyDescent="0.25">
      <c r="A784" s="7"/>
    </row>
    <row r="785" spans="1:1" ht="15.75" customHeight="1" x14ac:dyDescent="0.25">
      <c r="A785" s="7"/>
    </row>
    <row r="786" spans="1:1" ht="15.75" customHeight="1" x14ac:dyDescent="0.25">
      <c r="A786" s="7"/>
    </row>
    <row r="787" spans="1:1" ht="15.75" customHeight="1" x14ac:dyDescent="0.25">
      <c r="A787" s="7"/>
    </row>
    <row r="788" spans="1:1" ht="15.75" customHeight="1" x14ac:dyDescent="0.25">
      <c r="A788" s="7"/>
    </row>
    <row r="789" spans="1:1" ht="15.75" customHeight="1" x14ac:dyDescent="0.25">
      <c r="A789" s="7"/>
    </row>
    <row r="790" spans="1:1" ht="15.75" customHeight="1" x14ac:dyDescent="0.25">
      <c r="A790" s="7"/>
    </row>
    <row r="791" spans="1:1" ht="15.75" customHeight="1" x14ac:dyDescent="0.25">
      <c r="A791" s="7"/>
    </row>
    <row r="792" spans="1:1" ht="15.75" customHeight="1" x14ac:dyDescent="0.25">
      <c r="A792" s="7"/>
    </row>
    <row r="793" spans="1:1" ht="15.75" customHeight="1" x14ac:dyDescent="0.25">
      <c r="A793" s="7"/>
    </row>
    <row r="794" spans="1:1" ht="15.75" customHeight="1" x14ac:dyDescent="0.25">
      <c r="A794" s="7"/>
    </row>
    <row r="795" spans="1:1" ht="15.75" customHeight="1" x14ac:dyDescent="0.25">
      <c r="A795" s="7"/>
    </row>
    <row r="796" spans="1:1" ht="15.75" customHeight="1" x14ac:dyDescent="0.25">
      <c r="A796" s="7"/>
    </row>
    <row r="797" spans="1:1" ht="15.75" customHeight="1" x14ac:dyDescent="0.25">
      <c r="A797" s="7"/>
    </row>
    <row r="798" spans="1:1" ht="15.75" customHeight="1" x14ac:dyDescent="0.25">
      <c r="A798" s="7"/>
    </row>
    <row r="799" spans="1:1" ht="15.75" customHeight="1" x14ac:dyDescent="0.25">
      <c r="A799" s="7"/>
    </row>
    <row r="800" spans="1:1" ht="15.75" customHeight="1" x14ac:dyDescent="0.25">
      <c r="A800" s="7"/>
    </row>
    <row r="801" spans="1:1" ht="15.75" customHeight="1" x14ac:dyDescent="0.25">
      <c r="A801" s="7"/>
    </row>
    <row r="802" spans="1:1" ht="15.75" customHeight="1" x14ac:dyDescent="0.25">
      <c r="A802" s="7"/>
    </row>
    <row r="803" spans="1:1" ht="15.75" customHeight="1" x14ac:dyDescent="0.25">
      <c r="A803" s="7"/>
    </row>
    <row r="804" spans="1:1" ht="15.75" customHeight="1" x14ac:dyDescent="0.25">
      <c r="A804" s="7"/>
    </row>
    <row r="805" spans="1:1" ht="15.75" customHeight="1" x14ac:dyDescent="0.25">
      <c r="A805" s="7"/>
    </row>
    <row r="806" spans="1:1" ht="15.75" customHeight="1" x14ac:dyDescent="0.25">
      <c r="A806" s="7"/>
    </row>
    <row r="807" spans="1:1" ht="15.75" customHeight="1" x14ac:dyDescent="0.25">
      <c r="A807" s="7"/>
    </row>
    <row r="808" spans="1:1" ht="15.75" customHeight="1" x14ac:dyDescent="0.25">
      <c r="A808" s="7"/>
    </row>
    <row r="809" spans="1:1" ht="15.75" customHeight="1" x14ac:dyDescent="0.25">
      <c r="A809" s="7"/>
    </row>
    <row r="810" spans="1:1" ht="15.75" customHeight="1" x14ac:dyDescent="0.25">
      <c r="A810" s="7"/>
    </row>
    <row r="811" spans="1:1" ht="15.75" customHeight="1" x14ac:dyDescent="0.25">
      <c r="A811" s="7"/>
    </row>
    <row r="812" spans="1:1" ht="15.75" customHeight="1" x14ac:dyDescent="0.25">
      <c r="A812" s="7"/>
    </row>
    <row r="813" spans="1:1" ht="15.75" customHeight="1" x14ac:dyDescent="0.25">
      <c r="A813" s="7"/>
    </row>
    <row r="814" spans="1:1" ht="15.75" customHeight="1" x14ac:dyDescent="0.25">
      <c r="A814" s="7"/>
    </row>
    <row r="815" spans="1:1" ht="15.75" customHeight="1" x14ac:dyDescent="0.25">
      <c r="A815" s="7"/>
    </row>
    <row r="816" spans="1:1" ht="15.75" customHeight="1" x14ac:dyDescent="0.25">
      <c r="A816" s="7"/>
    </row>
    <row r="817" spans="1:1" ht="15.75" customHeight="1" x14ac:dyDescent="0.25">
      <c r="A817" s="7"/>
    </row>
    <row r="818" spans="1:1" ht="15.75" customHeight="1" x14ac:dyDescent="0.25">
      <c r="A818" s="7"/>
    </row>
    <row r="819" spans="1:1" ht="15.75" customHeight="1" x14ac:dyDescent="0.25">
      <c r="A819" s="7"/>
    </row>
    <row r="820" spans="1:1" ht="15.75" customHeight="1" x14ac:dyDescent="0.25">
      <c r="A820" s="7"/>
    </row>
    <row r="821" spans="1:1" ht="15.75" customHeight="1" x14ac:dyDescent="0.25">
      <c r="A821" s="7"/>
    </row>
    <row r="822" spans="1:1" ht="15.75" customHeight="1" x14ac:dyDescent="0.25">
      <c r="A822" s="7"/>
    </row>
    <row r="823" spans="1:1" ht="15.75" customHeight="1" x14ac:dyDescent="0.25">
      <c r="A823" s="7"/>
    </row>
    <row r="824" spans="1:1" ht="15.75" customHeight="1" x14ac:dyDescent="0.25">
      <c r="A824" s="7"/>
    </row>
    <row r="825" spans="1:1" ht="15.75" customHeight="1" x14ac:dyDescent="0.25">
      <c r="A825" s="7"/>
    </row>
    <row r="826" spans="1:1" ht="15.75" customHeight="1" x14ac:dyDescent="0.25">
      <c r="A826" s="7"/>
    </row>
    <row r="827" spans="1:1" ht="15.75" customHeight="1" x14ac:dyDescent="0.25">
      <c r="A827" s="7"/>
    </row>
    <row r="828" spans="1:1" ht="15.75" customHeight="1" x14ac:dyDescent="0.25">
      <c r="A828" s="7"/>
    </row>
    <row r="829" spans="1:1" ht="15.75" customHeight="1" x14ac:dyDescent="0.25">
      <c r="A829" s="7"/>
    </row>
    <row r="830" spans="1:1" ht="15.75" customHeight="1" x14ac:dyDescent="0.25">
      <c r="A830" s="7"/>
    </row>
    <row r="831" spans="1:1" ht="15.75" customHeight="1" x14ac:dyDescent="0.25">
      <c r="A831" s="7"/>
    </row>
    <row r="832" spans="1:1" ht="15.75" customHeight="1" x14ac:dyDescent="0.25">
      <c r="A832" s="7"/>
    </row>
    <row r="833" spans="1:1" ht="15.75" customHeight="1" x14ac:dyDescent="0.25">
      <c r="A833" s="7"/>
    </row>
    <row r="834" spans="1:1" ht="15.75" customHeight="1" x14ac:dyDescent="0.25">
      <c r="A834" s="7"/>
    </row>
    <row r="835" spans="1:1" ht="15.75" customHeight="1" x14ac:dyDescent="0.25">
      <c r="A835" s="7"/>
    </row>
    <row r="836" spans="1:1" ht="15.75" customHeight="1" x14ac:dyDescent="0.25">
      <c r="A836" s="7"/>
    </row>
    <row r="837" spans="1:1" ht="15.75" customHeight="1" x14ac:dyDescent="0.25">
      <c r="A837" s="7"/>
    </row>
    <row r="838" spans="1:1" ht="15.75" customHeight="1" x14ac:dyDescent="0.25">
      <c r="A838" s="7"/>
    </row>
    <row r="839" spans="1:1" ht="15.75" customHeight="1" x14ac:dyDescent="0.25">
      <c r="A839" s="7"/>
    </row>
    <row r="840" spans="1:1" ht="15.75" customHeight="1" x14ac:dyDescent="0.25">
      <c r="A840" s="7"/>
    </row>
    <row r="841" spans="1:1" ht="15.75" customHeight="1" x14ac:dyDescent="0.25">
      <c r="A841" s="7"/>
    </row>
    <row r="842" spans="1:1" ht="15.75" customHeight="1" x14ac:dyDescent="0.25">
      <c r="A842" s="7"/>
    </row>
    <row r="843" spans="1:1" ht="15.75" customHeight="1" x14ac:dyDescent="0.25">
      <c r="A843" s="7"/>
    </row>
    <row r="844" spans="1:1" ht="15.75" customHeight="1" x14ac:dyDescent="0.25">
      <c r="A844" s="7"/>
    </row>
    <row r="845" spans="1:1" ht="15.75" customHeight="1" x14ac:dyDescent="0.25">
      <c r="A845" s="7"/>
    </row>
    <row r="846" spans="1:1" ht="15.75" customHeight="1" x14ac:dyDescent="0.25">
      <c r="A846" s="7"/>
    </row>
    <row r="847" spans="1:1" ht="15.75" customHeight="1" x14ac:dyDescent="0.25">
      <c r="A847" s="7"/>
    </row>
    <row r="848" spans="1:1" ht="15.75" customHeight="1" x14ac:dyDescent="0.25">
      <c r="A848" s="7"/>
    </row>
    <row r="849" spans="1:1" ht="15.75" customHeight="1" x14ac:dyDescent="0.25">
      <c r="A849" s="7"/>
    </row>
    <row r="850" spans="1:1" ht="15.75" customHeight="1" x14ac:dyDescent="0.25">
      <c r="A850" s="7"/>
    </row>
    <row r="851" spans="1:1" ht="15.75" customHeight="1" x14ac:dyDescent="0.25">
      <c r="A851" s="7"/>
    </row>
    <row r="852" spans="1:1" ht="15.75" customHeight="1" x14ac:dyDescent="0.25">
      <c r="A852" s="7"/>
    </row>
    <row r="853" spans="1:1" ht="15.75" customHeight="1" x14ac:dyDescent="0.25">
      <c r="A853" s="7"/>
    </row>
    <row r="854" spans="1:1" ht="15.75" customHeight="1" x14ac:dyDescent="0.25">
      <c r="A854" s="7"/>
    </row>
    <row r="855" spans="1:1" ht="15.75" customHeight="1" x14ac:dyDescent="0.25">
      <c r="A855" s="7"/>
    </row>
    <row r="856" spans="1:1" ht="15.75" customHeight="1" x14ac:dyDescent="0.25">
      <c r="A856" s="7"/>
    </row>
    <row r="857" spans="1:1" ht="15.75" customHeight="1" x14ac:dyDescent="0.25">
      <c r="A857" s="7"/>
    </row>
    <row r="858" spans="1:1" ht="15.75" customHeight="1" x14ac:dyDescent="0.25">
      <c r="A858" s="7"/>
    </row>
    <row r="859" spans="1:1" ht="15.75" customHeight="1" x14ac:dyDescent="0.25">
      <c r="A859" s="7"/>
    </row>
    <row r="860" spans="1:1" ht="15.75" customHeight="1" x14ac:dyDescent="0.25">
      <c r="A860" s="7"/>
    </row>
    <row r="861" spans="1:1" ht="15.75" customHeight="1" x14ac:dyDescent="0.25">
      <c r="A861" s="7"/>
    </row>
    <row r="862" spans="1:1" ht="15.75" customHeight="1" x14ac:dyDescent="0.25">
      <c r="A862" s="7"/>
    </row>
    <row r="863" spans="1:1" ht="15.75" customHeight="1" x14ac:dyDescent="0.25">
      <c r="A863" s="7"/>
    </row>
    <row r="864" spans="1:1" ht="15.75" customHeight="1" x14ac:dyDescent="0.25">
      <c r="A864" s="7"/>
    </row>
    <row r="865" spans="1:1" ht="15.75" customHeight="1" x14ac:dyDescent="0.25">
      <c r="A865" s="7"/>
    </row>
    <row r="866" spans="1:1" ht="15.75" customHeight="1" x14ac:dyDescent="0.25">
      <c r="A866" s="7"/>
    </row>
    <row r="867" spans="1:1" ht="15.75" customHeight="1" x14ac:dyDescent="0.25">
      <c r="A867" s="7"/>
    </row>
    <row r="868" spans="1:1" ht="15.75" customHeight="1" x14ac:dyDescent="0.25">
      <c r="A868" s="7"/>
    </row>
    <row r="869" spans="1:1" ht="15.75" customHeight="1" x14ac:dyDescent="0.25">
      <c r="A869" s="7"/>
    </row>
    <row r="870" spans="1:1" ht="15.75" customHeight="1" x14ac:dyDescent="0.25">
      <c r="A870" s="7"/>
    </row>
    <row r="871" spans="1:1" ht="15.75" customHeight="1" x14ac:dyDescent="0.25">
      <c r="A871" s="7"/>
    </row>
    <row r="872" spans="1:1" ht="15.75" customHeight="1" x14ac:dyDescent="0.25">
      <c r="A872" s="7"/>
    </row>
    <row r="873" spans="1:1" ht="15.75" customHeight="1" x14ac:dyDescent="0.25">
      <c r="A873" s="7"/>
    </row>
    <row r="874" spans="1:1" ht="15.75" customHeight="1" x14ac:dyDescent="0.25">
      <c r="A874" s="7"/>
    </row>
    <row r="875" spans="1:1" ht="15.75" customHeight="1" x14ac:dyDescent="0.25">
      <c r="A875" s="7"/>
    </row>
    <row r="876" spans="1:1" ht="15.75" customHeight="1" x14ac:dyDescent="0.25">
      <c r="A876" s="7"/>
    </row>
    <row r="877" spans="1:1" ht="15.75" customHeight="1" x14ac:dyDescent="0.25">
      <c r="A877" s="7"/>
    </row>
    <row r="878" spans="1:1" ht="15.75" customHeight="1" x14ac:dyDescent="0.25">
      <c r="A878" s="7"/>
    </row>
    <row r="879" spans="1:1" ht="15.75" customHeight="1" x14ac:dyDescent="0.25">
      <c r="A879" s="7"/>
    </row>
    <row r="880" spans="1:1" ht="15.75" customHeight="1" x14ac:dyDescent="0.25">
      <c r="A880" s="7"/>
    </row>
    <row r="881" spans="1:1" ht="15.75" customHeight="1" x14ac:dyDescent="0.25">
      <c r="A881" s="7"/>
    </row>
    <row r="882" spans="1:1" ht="15.75" customHeight="1" x14ac:dyDescent="0.25">
      <c r="A882" s="7"/>
    </row>
    <row r="883" spans="1:1" ht="15.75" customHeight="1" x14ac:dyDescent="0.25">
      <c r="A883" s="7"/>
    </row>
    <row r="884" spans="1:1" ht="15.75" customHeight="1" x14ac:dyDescent="0.25">
      <c r="A884" s="7"/>
    </row>
    <row r="885" spans="1:1" ht="15.75" customHeight="1" x14ac:dyDescent="0.25">
      <c r="A885" s="7"/>
    </row>
    <row r="886" spans="1:1" ht="15.75" customHeight="1" x14ac:dyDescent="0.25">
      <c r="A886" s="7"/>
    </row>
    <row r="887" spans="1:1" ht="15.75" customHeight="1" x14ac:dyDescent="0.25">
      <c r="A887" s="7"/>
    </row>
    <row r="888" spans="1:1" ht="15.75" customHeight="1" x14ac:dyDescent="0.25">
      <c r="A888" s="7"/>
    </row>
    <row r="889" spans="1:1" ht="15.75" customHeight="1" x14ac:dyDescent="0.25">
      <c r="A889" s="7"/>
    </row>
    <row r="890" spans="1:1" ht="15.75" customHeight="1" x14ac:dyDescent="0.25">
      <c r="A890" s="7"/>
    </row>
    <row r="891" spans="1:1" ht="15.75" customHeight="1" x14ac:dyDescent="0.25">
      <c r="A891" s="7"/>
    </row>
    <row r="892" spans="1:1" ht="15.75" customHeight="1" x14ac:dyDescent="0.25">
      <c r="A892" s="7"/>
    </row>
    <row r="893" spans="1:1" ht="15.75" customHeight="1" x14ac:dyDescent="0.25">
      <c r="A893" s="7"/>
    </row>
    <row r="894" spans="1:1" ht="15.75" customHeight="1" x14ac:dyDescent="0.25">
      <c r="A894" s="7"/>
    </row>
    <row r="895" spans="1:1" ht="15.75" customHeight="1" x14ac:dyDescent="0.25">
      <c r="A895" s="7"/>
    </row>
    <row r="896" spans="1:1" ht="15.75" customHeight="1" x14ac:dyDescent="0.25">
      <c r="A896" s="7"/>
    </row>
    <row r="897" spans="1:1" ht="15.75" customHeight="1" x14ac:dyDescent="0.25">
      <c r="A897" s="7"/>
    </row>
    <row r="898" spans="1:1" ht="15.75" customHeight="1" x14ac:dyDescent="0.25">
      <c r="A898" s="7"/>
    </row>
    <row r="899" spans="1:1" ht="15.75" customHeight="1" x14ac:dyDescent="0.25">
      <c r="A899" s="7"/>
    </row>
    <row r="900" spans="1:1" ht="15.75" customHeight="1" x14ac:dyDescent="0.25">
      <c r="A900" s="7"/>
    </row>
    <row r="901" spans="1:1" ht="15.75" customHeight="1" x14ac:dyDescent="0.25">
      <c r="A901" s="7"/>
    </row>
    <row r="902" spans="1:1" ht="15.75" customHeight="1" x14ac:dyDescent="0.25">
      <c r="A902" s="7"/>
    </row>
    <row r="903" spans="1:1" ht="15.75" customHeight="1" x14ac:dyDescent="0.25">
      <c r="A903" s="7"/>
    </row>
    <row r="904" spans="1:1" ht="15.75" customHeight="1" x14ac:dyDescent="0.25">
      <c r="A904" s="7"/>
    </row>
    <row r="905" spans="1:1" ht="15.75" customHeight="1" x14ac:dyDescent="0.25">
      <c r="A905" s="7"/>
    </row>
    <row r="906" spans="1:1" ht="15.75" customHeight="1" x14ac:dyDescent="0.25">
      <c r="A906" s="7"/>
    </row>
    <row r="907" spans="1:1" ht="15.75" customHeight="1" x14ac:dyDescent="0.25">
      <c r="A907" s="7"/>
    </row>
    <row r="908" spans="1:1" ht="15.75" customHeight="1" x14ac:dyDescent="0.25">
      <c r="A908" s="7"/>
    </row>
    <row r="909" spans="1:1" ht="15.75" customHeight="1" x14ac:dyDescent="0.25">
      <c r="A909" s="7"/>
    </row>
    <row r="910" spans="1:1" ht="15.75" customHeight="1" x14ac:dyDescent="0.25">
      <c r="A910" s="7"/>
    </row>
    <row r="911" spans="1:1" ht="15.75" customHeight="1" x14ac:dyDescent="0.25">
      <c r="A911" s="7"/>
    </row>
    <row r="912" spans="1:1" ht="15.75" customHeight="1" x14ac:dyDescent="0.25">
      <c r="A912" s="7"/>
    </row>
    <row r="913" spans="1:1" ht="15.75" customHeight="1" x14ac:dyDescent="0.25">
      <c r="A913" s="7"/>
    </row>
    <row r="914" spans="1:1" ht="15.75" customHeight="1" x14ac:dyDescent="0.25">
      <c r="A914" s="7"/>
    </row>
    <row r="915" spans="1:1" ht="15.75" customHeight="1" x14ac:dyDescent="0.25">
      <c r="A915" s="7"/>
    </row>
    <row r="916" spans="1:1" ht="15.75" customHeight="1" x14ac:dyDescent="0.25">
      <c r="A916" s="7"/>
    </row>
    <row r="917" spans="1:1" ht="15.75" customHeight="1" x14ac:dyDescent="0.25">
      <c r="A917" s="7"/>
    </row>
    <row r="918" spans="1:1" ht="15.75" customHeight="1" x14ac:dyDescent="0.25">
      <c r="A918" s="7"/>
    </row>
    <row r="919" spans="1:1" ht="15.75" customHeight="1" x14ac:dyDescent="0.25">
      <c r="A919" s="7"/>
    </row>
    <row r="920" spans="1:1" ht="15.75" customHeight="1" x14ac:dyDescent="0.25">
      <c r="A920" s="7"/>
    </row>
    <row r="921" spans="1:1" ht="15.75" customHeight="1" x14ac:dyDescent="0.25">
      <c r="A921" s="7"/>
    </row>
    <row r="922" spans="1:1" ht="15.75" customHeight="1" x14ac:dyDescent="0.25">
      <c r="A922" s="7"/>
    </row>
    <row r="923" spans="1:1" ht="15.75" customHeight="1" x14ac:dyDescent="0.25">
      <c r="A923" s="7"/>
    </row>
    <row r="924" spans="1:1" ht="15.75" customHeight="1" x14ac:dyDescent="0.25">
      <c r="A924" s="7"/>
    </row>
    <row r="925" spans="1:1" ht="15.75" customHeight="1" x14ac:dyDescent="0.25">
      <c r="A925" s="7"/>
    </row>
    <row r="926" spans="1:1" ht="15.75" customHeight="1" x14ac:dyDescent="0.25">
      <c r="A926" s="7"/>
    </row>
    <row r="927" spans="1:1" ht="15.75" customHeight="1" x14ac:dyDescent="0.25">
      <c r="A927" s="7"/>
    </row>
    <row r="928" spans="1:1" ht="15.75" customHeight="1" x14ac:dyDescent="0.25">
      <c r="A928" s="7"/>
    </row>
    <row r="929" spans="1:1" ht="15.75" customHeight="1" x14ac:dyDescent="0.25">
      <c r="A929" s="7"/>
    </row>
    <row r="930" spans="1:1" ht="15.75" customHeight="1" x14ac:dyDescent="0.25">
      <c r="A930" s="7"/>
    </row>
    <row r="931" spans="1:1" ht="15.75" customHeight="1" x14ac:dyDescent="0.25">
      <c r="A931" s="7"/>
    </row>
    <row r="932" spans="1:1" ht="15.75" customHeight="1" x14ac:dyDescent="0.25">
      <c r="A932" s="7"/>
    </row>
    <row r="933" spans="1:1" ht="15.75" customHeight="1" x14ac:dyDescent="0.25">
      <c r="A933" s="7"/>
    </row>
    <row r="934" spans="1:1" ht="15.75" customHeight="1" x14ac:dyDescent="0.25">
      <c r="A934" s="7"/>
    </row>
    <row r="935" spans="1:1" ht="15.75" customHeight="1" x14ac:dyDescent="0.25">
      <c r="A935" s="7"/>
    </row>
    <row r="936" spans="1:1" ht="15.75" customHeight="1" x14ac:dyDescent="0.25">
      <c r="A936" s="7"/>
    </row>
    <row r="937" spans="1:1" ht="15.75" customHeight="1" x14ac:dyDescent="0.25">
      <c r="A937" s="7"/>
    </row>
    <row r="938" spans="1:1" ht="15.75" customHeight="1" x14ac:dyDescent="0.25">
      <c r="A938" s="7"/>
    </row>
    <row r="939" spans="1:1" ht="15.75" customHeight="1" x14ac:dyDescent="0.25">
      <c r="A939" s="7"/>
    </row>
    <row r="940" spans="1:1" ht="15.75" customHeight="1" x14ac:dyDescent="0.25">
      <c r="A940" s="7"/>
    </row>
    <row r="941" spans="1:1" ht="15.75" customHeight="1" x14ac:dyDescent="0.25">
      <c r="A941" s="7"/>
    </row>
    <row r="942" spans="1:1" ht="15.75" customHeight="1" x14ac:dyDescent="0.25">
      <c r="A942" s="7"/>
    </row>
    <row r="943" spans="1:1" ht="15.75" customHeight="1" x14ac:dyDescent="0.25">
      <c r="A943" s="7"/>
    </row>
    <row r="944" spans="1:1" ht="15.75" customHeight="1" x14ac:dyDescent="0.25">
      <c r="A944" s="7"/>
    </row>
    <row r="945" spans="1:1" ht="15.75" customHeight="1" x14ac:dyDescent="0.25">
      <c r="A945" s="7"/>
    </row>
    <row r="946" spans="1:1" ht="15.75" customHeight="1" x14ac:dyDescent="0.25">
      <c r="A946" s="7"/>
    </row>
    <row r="947" spans="1:1" ht="15.75" customHeight="1" x14ac:dyDescent="0.25">
      <c r="A947" s="7"/>
    </row>
    <row r="948" spans="1:1" ht="15.75" customHeight="1" x14ac:dyDescent="0.25">
      <c r="A948" s="7"/>
    </row>
    <row r="949" spans="1:1" ht="15.75" customHeight="1" x14ac:dyDescent="0.25">
      <c r="A949" s="7"/>
    </row>
    <row r="950" spans="1:1" ht="15.75" customHeight="1" x14ac:dyDescent="0.25">
      <c r="A950" s="7"/>
    </row>
    <row r="951" spans="1:1" ht="15.75" customHeight="1" x14ac:dyDescent="0.25">
      <c r="A951" s="7"/>
    </row>
    <row r="952" spans="1:1" ht="15.75" customHeight="1" x14ac:dyDescent="0.25">
      <c r="A952" s="7"/>
    </row>
    <row r="953" spans="1:1" ht="15.75" customHeight="1" x14ac:dyDescent="0.25">
      <c r="A953" s="7"/>
    </row>
    <row r="954" spans="1:1" ht="15.75" customHeight="1" x14ac:dyDescent="0.25">
      <c r="A954" s="7"/>
    </row>
    <row r="955" spans="1:1" ht="15.75" customHeight="1" x14ac:dyDescent="0.25">
      <c r="A955" s="7"/>
    </row>
    <row r="956" spans="1:1" ht="15.75" customHeight="1" x14ac:dyDescent="0.25">
      <c r="A956" s="7"/>
    </row>
    <row r="957" spans="1:1" ht="15.75" customHeight="1" x14ac:dyDescent="0.25">
      <c r="A957" s="7"/>
    </row>
    <row r="958" spans="1:1" ht="15.75" customHeight="1" x14ac:dyDescent="0.25">
      <c r="A958" s="7"/>
    </row>
    <row r="959" spans="1:1" ht="15.75" customHeight="1" x14ac:dyDescent="0.25">
      <c r="A959" s="7"/>
    </row>
    <row r="960" spans="1:1" ht="15.75" customHeight="1" x14ac:dyDescent="0.25">
      <c r="A960" s="7"/>
    </row>
    <row r="961" spans="1:1" ht="15.75" customHeight="1" x14ac:dyDescent="0.25">
      <c r="A961" s="7"/>
    </row>
    <row r="962" spans="1:1" ht="15.75" customHeight="1" x14ac:dyDescent="0.25">
      <c r="A962" s="7"/>
    </row>
    <row r="963" spans="1:1" ht="15.75" customHeight="1" x14ac:dyDescent="0.25">
      <c r="A963" s="7"/>
    </row>
    <row r="964" spans="1:1" ht="15.75" customHeight="1" x14ac:dyDescent="0.25">
      <c r="A964" s="7"/>
    </row>
    <row r="965" spans="1:1" ht="15.75" customHeight="1" x14ac:dyDescent="0.25">
      <c r="A965" s="7"/>
    </row>
    <row r="966" spans="1:1" ht="15.75" customHeight="1" x14ac:dyDescent="0.25">
      <c r="A966" s="7"/>
    </row>
    <row r="967" spans="1:1" ht="15.75" customHeight="1" x14ac:dyDescent="0.25">
      <c r="A967" s="7"/>
    </row>
    <row r="968" spans="1:1" ht="15.75" customHeight="1" x14ac:dyDescent="0.25">
      <c r="A968" s="7"/>
    </row>
    <row r="969" spans="1:1" ht="15.75" customHeight="1" x14ac:dyDescent="0.25">
      <c r="A969" s="7"/>
    </row>
    <row r="970" spans="1:1" ht="15.75" customHeight="1" x14ac:dyDescent="0.25">
      <c r="A970" s="7"/>
    </row>
    <row r="971" spans="1:1" ht="15.75" customHeight="1" x14ac:dyDescent="0.25">
      <c r="A971" s="7"/>
    </row>
    <row r="972" spans="1:1" ht="15.75" customHeight="1" x14ac:dyDescent="0.25">
      <c r="A972" s="7"/>
    </row>
    <row r="973" spans="1:1" ht="15.75" customHeight="1" x14ac:dyDescent="0.25">
      <c r="A973" s="7"/>
    </row>
    <row r="974" spans="1:1" ht="15.75" customHeight="1" x14ac:dyDescent="0.25">
      <c r="A974" s="7"/>
    </row>
    <row r="975" spans="1:1" ht="15.75" customHeight="1" x14ac:dyDescent="0.25">
      <c r="A975" s="7"/>
    </row>
    <row r="976" spans="1:1" ht="15.75" customHeight="1" x14ac:dyDescent="0.25">
      <c r="A976" s="7"/>
    </row>
    <row r="977" spans="1:1" ht="15.75" customHeight="1" x14ac:dyDescent="0.25">
      <c r="A977" s="7"/>
    </row>
    <row r="978" spans="1:1" ht="15.75" customHeight="1" x14ac:dyDescent="0.25">
      <c r="A978" s="7"/>
    </row>
    <row r="979" spans="1:1" ht="15.75" customHeight="1" x14ac:dyDescent="0.25">
      <c r="A979" s="7"/>
    </row>
    <row r="980" spans="1:1" ht="15.75" customHeight="1" x14ac:dyDescent="0.25">
      <c r="A980" s="7"/>
    </row>
    <row r="981" spans="1:1" ht="15.75" customHeight="1" x14ac:dyDescent="0.25">
      <c r="A981" s="7"/>
    </row>
    <row r="982" spans="1:1" ht="15.75" customHeight="1" x14ac:dyDescent="0.25">
      <c r="A982" s="7"/>
    </row>
    <row r="983" spans="1:1" ht="15.75" customHeight="1" x14ac:dyDescent="0.25">
      <c r="A983" s="7"/>
    </row>
    <row r="984" spans="1:1" ht="15.75" customHeight="1" x14ac:dyDescent="0.25">
      <c r="A984" s="7"/>
    </row>
    <row r="985" spans="1:1" ht="15.75" customHeight="1" x14ac:dyDescent="0.25">
      <c r="A985" s="7"/>
    </row>
    <row r="986" spans="1:1" ht="15.75" customHeight="1" x14ac:dyDescent="0.25">
      <c r="A986" s="7"/>
    </row>
    <row r="987" spans="1:1" ht="15.75" customHeight="1" x14ac:dyDescent="0.25">
      <c r="A987" s="7"/>
    </row>
    <row r="988" spans="1:1" ht="15.75" customHeight="1" x14ac:dyDescent="0.25">
      <c r="A988" s="7"/>
    </row>
    <row r="989" spans="1:1" ht="15.75" customHeight="1" x14ac:dyDescent="0.25">
      <c r="A989" s="7"/>
    </row>
    <row r="990" spans="1:1" ht="15.75" customHeight="1" x14ac:dyDescent="0.25">
      <c r="A990" s="7"/>
    </row>
    <row r="991" spans="1:1" ht="15.75" customHeight="1" x14ac:dyDescent="0.25">
      <c r="A991" s="7"/>
    </row>
    <row r="992" spans="1:1" ht="15.75" customHeight="1" x14ac:dyDescent="0.25">
      <c r="A992" s="7"/>
    </row>
    <row r="993" spans="1:1" ht="15.75" customHeight="1" x14ac:dyDescent="0.25">
      <c r="A993" s="7"/>
    </row>
    <row r="994" spans="1:1" ht="15.75" customHeight="1" x14ac:dyDescent="0.25">
      <c r="A994" s="7"/>
    </row>
    <row r="995" spans="1:1" ht="15.75" customHeight="1" x14ac:dyDescent="0.25">
      <c r="A995" s="7"/>
    </row>
    <row r="996" spans="1:1" ht="15.75" customHeight="1" x14ac:dyDescent="0.25">
      <c r="A996" s="7"/>
    </row>
    <row r="997" spans="1:1" ht="15.75" customHeight="1" x14ac:dyDescent="0.25">
      <c r="A997" s="7"/>
    </row>
    <row r="998" spans="1:1" ht="15.75" customHeight="1" x14ac:dyDescent="0.25">
      <c r="A998" s="7"/>
    </row>
    <row r="999" spans="1:1" ht="15.75" customHeight="1" x14ac:dyDescent="0.25">
      <c r="A999" s="7"/>
    </row>
    <row r="1000" spans="1:1" ht="15.75" customHeight="1" x14ac:dyDescent="0.25">
      <c r="A1000" s="7"/>
    </row>
  </sheetData>
  <sheetProtection algorithmName="SHA-512" hashValue="2P/T0vrtFBxYtsLl00JLYmjlj9gAck5PgwAgrzOT1BRDwApdvAJxeG7CxDu8MW6PpVkuIgSyv0EQutN8xxGQ4g==" saltValue="KSor2FkaAMyF+N76ihRFmw==" spinCount="100000" sheet="1" objects="1" scenarios="1"/>
  <mergeCells count="6">
    <mergeCell ref="B132:H132"/>
    <mergeCell ref="B1:H1"/>
    <mergeCell ref="B27:H27"/>
    <mergeCell ref="B54:H54"/>
    <mergeCell ref="B72:H72"/>
    <mergeCell ref="B109:H109"/>
  </mergeCells>
  <pageMargins left="0.7" right="0.7" top="0.75" bottom="0.75" header="0" footer="0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00"/>
  <sheetViews>
    <sheetView topLeftCell="A49" zoomScale="70" zoomScaleNormal="70" workbookViewId="0">
      <selection activeCell="D69" sqref="D69"/>
    </sheetView>
  </sheetViews>
  <sheetFormatPr defaultColWidth="14.42578125" defaultRowHeight="15" customHeight="1" x14ac:dyDescent="0.25"/>
  <cols>
    <col min="1" max="1" width="9.140625" style="42" customWidth="1"/>
    <col min="2" max="2" width="45.7109375" style="42" customWidth="1"/>
    <col min="3" max="3" width="8.85546875" style="42" customWidth="1"/>
    <col min="4" max="4" width="8.140625" style="42" customWidth="1"/>
    <col min="5" max="7" width="8.7109375" style="42" customWidth="1"/>
    <col min="8" max="8" width="13.140625" style="42" customWidth="1"/>
    <col min="9" max="10" width="8.7109375" style="42" customWidth="1"/>
    <col min="11" max="11" width="39.28515625" style="42" customWidth="1"/>
    <col min="12" max="26" width="8.7109375" style="42" customWidth="1"/>
    <col min="27" max="16384" width="14.42578125" style="42"/>
  </cols>
  <sheetData>
    <row r="1" spans="1:16" ht="18.75" x14ac:dyDescent="0.3">
      <c r="A1" s="1"/>
      <c r="B1" s="173" t="s">
        <v>2</v>
      </c>
      <c r="C1" s="174"/>
      <c r="D1" s="174"/>
      <c r="E1" s="174"/>
      <c r="F1" s="174"/>
      <c r="G1" s="174"/>
      <c r="H1" s="134"/>
      <c r="I1" s="1"/>
    </row>
    <row r="2" spans="1:16" ht="15.75" thickBot="1" x14ac:dyDescent="0.3">
      <c r="A2" s="1"/>
      <c r="B2" s="8" t="s">
        <v>8</v>
      </c>
      <c r="C2" s="8" t="s">
        <v>11</v>
      </c>
      <c r="D2" s="9" t="e">
        <f>VLOOKUP(B2,'Nutrition Plan'!$D$82:$F$92,3,0)</f>
        <v>#N/A</v>
      </c>
      <c r="E2" s="10" t="e">
        <f>D2/(1/10)</f>
        <v>#N/A</v>
      </c>
      <c r="F2" s="11" t="e">
        <f>D2/(1/0.2)</f>
        <v>#N/A</v>
      </c>
      <c r="G2" s="10" t="e">
        <f>D2/(1/50)</f>
        <v>#N/A</v>
      </c>
      <c r="H2" s="12" t="e">
        <f t="shared" ref="H2:H26" si="0">(E2*4)+(F2*9)+(G2*4)</f>
        <v>#N/A</v>
      </c>
      <c r="I2" s="1"/>
    </row>
    <row r="3" spans="1:16" ht="16.5" thickTop="1" thickBot="1" x14ac:dyDescent="0.3">
      <c r="A3" s="1"/>
      <c r="B3" s="8" t="s">
        <v>21</v>
      </c>
      <c r="C3" s="8" t="s">
        <v>22</v>
      </c>
      <c r="D3" s="9" t="e">
        <f>VLOOKUP(B3,'Nutrition Plan'!$D$82:$F$92,3,0)</f>
        <v>#N/A</v>
      </c>
      <c r="E3" s="10" t="e">
        <f>D3/(1/4)</f>
        <v>#N/A</v>
      </c>
      <c r="F3" s="11" t="e">
        <f>D3/(1/0.5)</f>
        <v>#N/A</v>
      </c>
      <c r="G3" s="10" t="e">
        <f>D3/(1/15)</f>
        <v>#N/A</v>
      </c>
      <c r="H3" s="12" t="e">
        <f t="shared" si="0"/>
        <v>#N/A</v>
      </c>
      <c r="I3" s="1"/>
      <c r="K3" s="7" t="s">
        <v>168</v>
      </c>
      <c r="M3" s="42">
        <v>1.5</v>
      </c>
      <c r="N3" s="42">
        <v>0.3</v>
      </c>
      <c r="O3" s="42">
        <v>5</v>
      </c>
      <c r="P3" s="42">
        <v>1</v>
      </c>
    </row>
    <row r="4" spans="1:16" ht="16.5" thickTop="1" thickBot="1" x14ac:dyDescent="0.3">
      <c r="A4" s="1"/>
      <c r="B4" s="8" t="s">
        <v>25</v>
      </c>
      <c r="C4" s="8" t="s">
        <v>7</v>
      </c>
      <c r="D4" s="9" t="e">
        <f>VLOOKUP(B4,'Nutrition Plan'!$D$82:$F$92,3,0)</f>
        <v>#N/A</v>
      </c>
      <c r="E4" s="10" t="e">
        <f>D4/(28/3)</f>
        <v>#N/A</v>
      </c>
      <c r="F4" s="11" t="e">
        <f>D4/(28/2)</f>
        <v>#N/A</v>
      </c>
      <c r="G4" s="10" t="e">
        <f>D4/(28/20)</f>
        <v>#N/A</v>
      </c>
      <c r="H4" s="12" t="e">
        <f t="shared" si="0"/>
        <v>#N/A</v>
      </c>
      <c r="I4" s="1"/>
      <c r="K4" s="7" t="s">
        <v>26</v>
      </c>
      <c r="M4" s="42">
        <v>1.6</v>
      </c>
      <c r="N4" s="42">
        <v>0.31</v>
      </c>
      <c r="O4" s="42">
        <v>8</v>
      </c>
      <c r="P4" s="42">
        <v>2</v>
      </c>
    </row>
    <row r="5" spans="1:16" ht="16.5" thickTop="1" thickBot="1" x14ac:dyDescent="0.3">
      <c r="A5" s="1"/>
      <c r="B5" s="8" t="s">
        <v>27</v>
      </c>
      <c r="C5" s="8" t="s">
        <v>7</v>
      </c>
      <c r="D5" s="9" t="e">
        <f>VLOOKUP(B5,'Nutrition Plan'!$D$82:$F$92,3,0)</f>
        <v>#N/A</v>
      </c>
      <c r="E5" s="10" t="e">
        <f>D5/(57/8)</f>
        <v>#N/A</v>
      </c>
      <c r="F5" s="11">
        <v>0</v>
      </c>
      <c r="G5" s="10" t="e">
        <f>D5/(57/40)</f>
        <v>#N/A</v>
      </c>
      <c r="H5" s="12" t="e">
        <f t="shared" si="0"/>
        <v>#N/A</v>
      </c>
      <c r="I5" s="1"/>
      <c r="K5" s="7" t="s">
        <v>169</v>
      </c>
      <c r="M5" s="42">
        <v>1.7</v>
      </c>
      <c r="N5" s="42">
        <v>0.32</v>
      </c>
      <c r="O5" s="42">
        <v>10</v>
      </c>
      <c r="P5" s="42">
        <v>3</v>
      </c>
    </row>
    <row r="6" spans="1:16" ht="16.5" thickTop="1" thickBot="1" x14ac:dyDescent="0.3">
      <c r="A6" s="1"/>
      <c r="B6" s="8" t="s">
        <v>28</v>
      </c>
      <c r="C6" s="8" t="s">
        <v>7</v>
      </c>
      <c r="D6" s="9" t="e">
        <f>VLOOKUP(B6,'Nutrition Plan'!$D$82:$F$92,3,0)</f>
        <v>#N/A</v>
      </c>
      <c r="E6" s="10" t="e">
        <f>D6/(14/1)</f>
        <v>#N/A</v>
      </c>
      <c r="F6" s="11">
        <f>0</f>
        <v>0</v>
      </c>
      <c r="G6" s="10" t="e">
        <f>D6/(14/12)</f>
        <v>#N/A</v>
      </c>
      <c r="H6" s="12" t="e">
        <f t="shared" si="0"/>
        <v>#N/A</v>
      </c>
      <c r="I6" s="1"/>
      <c r="K6" s="7" t="s">
        <v>33</v>
      </c>
      <c r="M6" s="42">
        <v>1.8</v>
      </c>
      <c r="N6" s="42">
        <v>0.33</v>
      </c>
      <c r="O6" s="42">
        <v>12</v>
      </c>
      <c r="P6" s="42">
        <v>4</v>
      </c>
    </row>
    <row r="7" spans="1:16" ht="16.5" thickTop="1" thickBot="1" x14ac:dyDescent="0.3">
      <c r="A7" s="1"/>
      <c r="B7" s="8" t="s">
        <v>34</v>
      </c>
      <c r="C7" s="8" t="s">
        <v>7</v>
      </c>
      <c r="D7" s="9" t="e">
        <f>VLOOKUP(B7,'Nutrition Plan'!$D$82:$F$92,3,0)</f>
        <v>#N/A</v>
      </c>
      <c r="E7" s="10" t="e">
        <f>D7/(30/2)</f>
        <v>#N/A</v>
      </c>
      <c r="F7" s="11" t="e">
        <f>D7/(30/1)</f>
        <v>#N/A</v>
      </c>
      <c r="G7" s="10" t="e">
        <f>D7/(30/11)</f>
        <v>#N/A</v>
      </c>
      <c r="H7" s="12" t="e">
        <f t="shared" si="0"/>
        <v>#N/A</v>
      </c>
      <c r="I7" s="1"/>
      <c r="K7" s="7" t="s">
        <v>36</v>
      </c>
      <c r="M7" s="42">
        <v>1.9</v>
      </c>
      <c r="N7" s="42">
        <v>0.34</v>
      </c>
      <c r="O7" s="42">
        <v>15</v>
      </c>
      <c r="P7" s="42">
        <v>5</v>
      </c>
    </row>
    <row r="8" spans="1:16" ht="16.5" thickTop="1" thickBot="1" x14ac:dyDescent="0.3">
      <c r="A8" s="1"/>
      <c r="B8" s="8" t="s">
        <v>170</v>
      </c>
      <c r="C8" s="8" t="s">
        <v>7</v>
      </c>
      <c r="D8" s="9" t="e">
        <f>VLOOKUP(B8,'Nutrition Plan'!$D$82:$F$92,3,0)</f>
        <v>#N/A</v>
      </c>
      <c r="E8" s="10" t="e">
        <f>D8/(100/2)</f>
        <v>#N/A</v>
      </c>
      <c r="F8" s="11">
        <f>0</f>
        <v>0</v>
      </c>
      <c r="G8" s="10" t="e">
        <f>D8/(100/82.4)</f>
        <v>#N/A</v>
      </c>
      <c r="H8" s="12" t="e">
        <f t="shared" si="0"/>
        <v>#N/A</v>
      </c>
      <c r="I8" s="1"/>
      <c r="K8" s="7" t="s">
        <v>37</v>
      </c>
      <c r="M8" s="42">
        <v>2</v>
      </c>
      <c r="N8" s="42">
        <v>0.35</v>
      </c>
      <c r="P8" s="42">
        <v>6</v>
      </c>
    </row>
    <row r="9" spans="1:16" ht="16.5" thickTop="1" thickBot="1" x14ac:dyDescent="0.3">
      <c r="A9" s="1"/>
      <c r="B9" s="8" t="s">
        <v>171</v>
      </c>
      <c r="C9" s="8" t="s">
        <v>7</v>
      </c>
      <c r="D9" s="9" t="e">
        <f>VLOOKUP(B9,'Nutrition Plan'!$D$82:$F$92,3,0)</f>
        <v>#N/A</v>
      </c>
      <c r="E9" s="10">
        <v>0</v>
      </c>
      <c r="F9" s="11">
        <v>0</v>
      </c>
      <c r="G9" s="10" t="e">
        <f>D9/(28/4)</f>
        <v>#N/A</v>
      </c>
      <c r="H9" s="12" t="e">
        <f t="shared" si="0"/>
        <v>#N/A</v>
      </c>
      <c r="I9" s="1"/>
      <c r="M9" s="42">
        <v>2.1</v>
      </c>
      <c r="N9" s="42">
        <v>0.36</v>
      </c>
      <c r="P9" s="42">
        <v>7</v>
      </c>
    </row>
    <row r="10" spans="1:16" ht="16.5" thickTop="1" thickBot="1" x14ac:dyDescent="0.3">
      <c r="A10" s="1"/>
      <c r="B10" s="8" t="s">
        <v>172</v>
      </c>
      <c r="C10" s="8" t="s">
        <v>7</v>
      </c>
      <c r="D10" s="9" t="e">
        <f>VLOOKUP(B10,'Nutrition Plan'!$D$82:$F$92,3,0)</f>
        <v>#N/A</v>
      </c>
      <c r="E10" s="10" t="e">
        <f>D10/(45/7)</f>
        <v>#N/A</v>
      </c>
      <c r="F10" s="11" t="e">
        <f>D10/(45/3)</f>
        <v>#N/A</v>
      </c>
      <c r="G10" s="10" t="e">
        <f>D10/(45/30)</f>
        <v>#N/A</v>
      </c>
      <c r="H10" s="12" t="e">
        <f t="shared" si="0"/>
        <v>#N/A</v>
      </c>
      <c r="I10" s="1"/>
      <c r="M10" s="42">
        <v>2.2000000000000002</v>
      </c>
      <c r="N10" s="42">
        <v>0.37</v>
      </c>
    </row>
    <row r="11" spans="1:16" ht="16.5" thickTop="1" thickBot="1" x14ac:dyDescent="0.3">
      <c r="A11" s="1"/>
      <c r="B11" s="8" t="s">
        <v>38</v>
      </c>
      <c r="C11" s="8" t="s">
        <v>7</v>
      </c>
      <c r="D11" s="9" t="e">
        <f>VLOOKUP(B11,'Nutrition Plan'!$D$82:$F$92,3,0)</f>
        <v>#N/A</v>
      </c>
      <c r="E11" s="10" t="e">
        <f t="shared" ref="E11:E12" si="1">D11/(40/5)</f>
        <v>#N/A</v>
      </c>
      <c r="F11" s="11" t="e">
        <f>D11/(40/3)</f>
        <v>#N/A</v>
      </c>
      <c r="G11" s="10" t="e">
        <f t="shared" ref="G11:G12" si="2">D11/(40/27)</f>
        <v>#N/A</v>
      </c>
      <c r="H11" s="12" t="e">
        <f t="shared" si="0"/>
        <v>#N/A</v>
      </c>
      <c r="I11" s="1"/>
      <c r="M11" s="42">
        <v>2.2999999999999998</v>
      </c>
      <c r="N11" s="42">
        <v>0.38</v>
      </c>
    </row>
    <row r="12" spans="1:16" ht="16.5" thickTop="1" thickBot="1" x14ac:dyDescent="0.3">
      <c r="A12" s="1"/>
      <c r="B12" s="8" t="s">
        <v>173</v>
      </c>
      <c r="C12" s="8" t="s">
        <v>7</v>
      </c>
      <c r="D12" s="9" t="e">
        <f>VLOOKUP(B12,'Nutrition Plan'!$D$82:$F$92,3,0)</f>
        <v>#N/A</v>
      </c>
      <c r="E12" s="10" t="e">
        <f t="shared" si="1"/>
        <v>#N/A</v>
      </c>
      <c r="F12" s="11" t="e">
        <f>D12/(40/2.5)</f>
        <v>#N/A</v>
      </c>
      <c r="G12" s="10" t="e">
        <f t="shared" si="2"/>
        <v>#N/A</v>
      </c>
      <c r="H12" s="12" t="e">
        <f t="shared" si="0"/>
        <v>#N/A</v>
      </c>
      <c r="I12" s="1"/>
      <c r="M12" s="42">
        <v>2.4</v>
      </c>
      <c r="N12" s="42">
        <v>0.39</v>
      </c>
    </row>
    <row r="13" spans="1:16" ht="16.5" thickTop="1" thickBot="1" x14ac:dyDescent="0.3">
      <c r="A13" s="1"/>
      <c r="B13" s="8" t="s">
        <v>41</v>
      </c>
      <c r="C13" s="8" t="s">
        <v>7</v>
      </c>
      <c r="D13" s="9" t="e">
        <f>VLOOKUP(B13,'Nutrition Plan'!$D$82:$F$92,3,0)</f>
        <v>#N/A</v>
      </c>
      <c r="E13" s="10" t="e">
        <f>D13/(47/4)</f>
        <v>#N/A</v>
      </c>
      <c r="F13" s="11" t="e">
        <f>D13/(47/0.5)</f>
        <v>#N/A</v>
      </c>
      <c r="G13" s="10" t="e">
        <f>D13/(47/33)</f>
        <v>#N/A</v>
      </c>
      <c r="H13" s="12" t="e">
        <f t="shared" si="0"/>
        <v>#N/A</v>
      </c>
      <c r="I13" s="1"/>
      <c r="M13" s="42">
        <v>2.5</v>
      </c>
      <c r="N13" s="42">
        <v>0.4</v>
      </c>
    </row>
    <row r="14" spans="1:16" ht="16.5" thickTop="1" thickBot="1" x14ac:dyDescent="0.3">
      <c r="A14" s="1"/>
      <c r="B14" s="8" t="s">
        <v>42</v>
      </c>
      <c r="C14" s="8" t="s">
        <v>7</v>
      </c>
      <c r="D14" s="9" t="e">
        <f>VLOOKUP(B14,'Nutrition Plan'!$D$82:$F$92,3,0)</f>
        <v>#N/A</v>
      </c>
      <c r="E14" s="10" t="e">
        <f>D14/(38/4)</f>
        <v>#N/A</v>
      </c>
      <c r="F14" s="11" t="e">
        <f>D14/(38/0.5)</f>
        <v>#N/A</v>
      </c>
      <c r="G14" s="10" t="e">
        <f>D14/(38/26)</f>
        <v>#N/A</v>
      </c>
      <c r="H14" s="12" t="e">
        <f t="shared" si="0"/>
        <v>#N/A</v>
      </c>
      <c r="I14" s="1"/>
      <c r="N14" s="42">
        <v>0.41</v>
      </c>
    </row>
    <row r="15" spans="1:16" ht="16.5" thickTop="1" thickBot="1" x14ac:dyDescent="0.3">
      <c r="A15" s="1"/>
      <c r="B15" s="8" t="s">
        <v>43</v>
      </c>
      <c r="C15" s="8" t="s">
        <v>7</v>
      </c>
      <c r="D15" s="9" t="e">
        <f>VLOOKUP(B15,'Nutrition Plan'!$D$82:$F$92,3,0)</f>
        <v>#N/A</v>
      </c>
      <c r="E15" s="10" t="e">
        <f>D15/(42/1)</f>
        <v>#N/A</v>
      </c>
      <c r="F15" s="11" t="e">
        <f>D15/(42/0.5)</f>
        <v>#N/A</v>
      </c>
      <c r="G15" s="10" t="e">
        <f>D15/(42/32)</f>
        <v>#N/A</v>
      </c>
      <c r="H15" s="12" t="e">
        <f t="shared" si="0"/>
        <v>#N/A</v>
      </c>
      <c r="I15" s="1"/>
      <c r="N15" s="42">
        <v>0.42</v>
      </c>
    </row>
    <row r="16" spans="1:16" ht="16.5" thickTop="1" thickBot="1" x14ac:dyDescent="0.3">
      <c r="A16" s="1"/>
      <c r="B16" s="8" t="s">
        <v>174</v>
      </c>
      <c r="C16" s="8" t="s">
        <v>7</v>
      </c>
      <c r="D16" s="9" t="e">
        <f>VLOOKUP(B16,'Nutrition Plan'!$D$82:$F$92,3,0)</f>
        <v>#N/A</v>
      </c>
      <c r="E16" s="10" t="e">
        <f>D16/(28/1.5)</f>
        <v>#N/A</v>
      </c>
      <c r="F16" s="11" t="e">
        <f>D16/(28/0.15)</f>
        <v>#N/A</v>
      </c>
      <c r="G16" s="10" t="e">
        <f>D16/(28/7.45)</f>
        <v>#N/A</v>
      </c>
      <c r="H16" s="12" t="e">
        <f t="shared" si="0"/>
        <v>#N/A</v>
      </c>
      <c r="I16" s="1"/>
      <c r="N16" s="42">
        <v>0.43</v>
      </c>
    </row>
    <row r="17" spans="1:14" ht="16.5" thickTop="1" thickBot="1" x14ac:dyDescent="0.3">
      <c r="A17" s="1"/>
      <c r="B17" s="8" t="s">
        <v>44</v>
      </c>
      <c r="C17" s="8" t="s">
        <v>45</v>
      </c>
      <c r="D17" s="9" t="e">
        <f>VLOOKUP(B17,'Nutrition Plan'!$D$82:$F$92,3,0)</f>
        <v>#N/A</v>
      </c>
      <c r="E17" s="10" t="e">
        <f>D17/(1/1)</f>
        <v>#N/A</v>
      </c>
      <c r="F17" s="11">
        <f>0</f>
        <v>0</v>
      </c>
      <c r="G17" s="10" t="e">
        <f>D17/(1/8)</f>
        <v>#N/A</v>
      </c>
      <c r="H17" s="12" t="e">
        <f t="shared" si="0"/>
        <v>#N/A</v>
      </c>
      <c r="I17" s="1"/>
      <c r="N17" s="42">
        <v>0.44</v>
      </c>
    </row>
    <row r="18" spans="1:14" ht="16.5" thickTop="1" thickBot="1" x14ac:dyDescent="0.3">
      <c r="A18" s="1"/>
      <c r="B18" s="8" t="s">
        <v>175</v>
      </c>
      <c r="C18" s="8" t="s">
        <v>7</v>
      </c>
      <c r="D18" s="9" t="e">
        <f>VLOOKUP(B18,'Nutrition Plan'!$D$82:$F$92,3,0)</f>
        <v>#N/A</v>
      </c>
      <c r="E18" s="10" t="e">
        <f>D18/(100/2.32)</f>
        <v>#N/A</v>
      </c>
      <c r="F18" s="11" t="e">
        <f>D18/(100/0.83)</f>
        <v>#N/A</v>
      </c>
      <c r="G18" s="10" t="e">
        <f>D18/(100/23.51)</f>
        <v>#N/A</v>
      </c>
      <c r="H18" s="12" t="e">
        <f t="shared" si="0"/>
        <v>#N/A</v>
      </c>
      <c r="I18" s="1"/>
      <c r="N18" s="42">
        <v>0.45</v>
      </c>
    </row>
    <row r="19" spans="1:14" ht="16.5" thickTop="1" thickBot="1" x14ac:dyDescent="0.3">
      <c r="A19" s="1"/>
      <c r="B19" s="8" t="s">
        <v>176</v>
      </c>
      <c r="C19" s="8" t="s">
        <v>7</v>
      </c>
      <c r="D19" s="9" t="e">
        <f>VLOOKUP(B19,'Nutrition Plan'!$D$82:$F$92,3,0)</f>
        <v>#N/A</v>
      </c>
      <c r="E19" s="10" t="e">
        <f>D19/(200/4.2)</f>
        <v>#N/A</v>
      </c>
      <c r="F19" s="11" t="e">
        <f>D19/(200/0.44)</f>
        <v>#N/A</v>
      </c>
      <c r="G19" s="10" t="e">
        <f>D19/(200/45)</f>
        <v>#N/A</v>
      </c>
      <c r="H19" s="12" t="e">
        <f t="shared" si="0"/>
        <v>#N/A</v>
      </c>
      <c r="I19" s="1"/>
      <c r="N19" s="42">
        <v>0.46</v>
      </c>
    </row>
    <row r="20" spans="1:14" ht="16.5" thickTop="1" thickBot="1" x14ac:dyDescent="0.3">
      <c r="A20" s="1"/>
      <c r="B20" s="8" t="s">
        <v>177</v>
      </c>
      <c r="C20" s="8" t="s">
        <v>7</v>
      </c>
      <c r="D20" s="9" t="e">
        <f>VLOOKUP(B20,'Nutrition Plan'!$D$82:$F$92,3,0)</f>
        <v>#N/A</v>
      </c>
      <c r="E20" s="10" t="e">
        <f>D20/(100/2.38)</f>
        <v>#N/A</v>
      </c>
      <c r="F20" s="11" t="e">
        <f>D20/(100/0.21)</f>
        <v>#N/A</v>
      </c>
      <c r="G20" s="10" t="e">
        <f>D20/(100/28.59)</f>
        <v>#N/A</v>
      </c>
      <c r="H20" s="12" t="e">
        <f t="shared" si="0"/>
        <v>#N/A</v>
      </c>
      <c r="I20" s="1"/>
      <c r="N20" s="42">
        <v>0.47</v>
      </c>
    </row>
    <row r="21" spans="1:14" ht="15.75" customHeight="1" thickTop="1" thickBot="1" x14ac:dyDescent="0.3">
      <c r="A21" s="1"/>
      <c r="B21" s="8" t="s">
        <v>178</v>
      </c>
      <c r="C21" s="8" t="s">
        <v>7</v>
      </c>
      <c r="D21" s="9" t="e">
        <f>VLOOKUP(B21,'Nutrition Plan'!$D$82:$F$92,3,0)</f>
        <v>#N/A</v>
      </c>
      <c r="E21" s="10" t="e">
        <f>D21/(100/2)</f>
        <v>#N/A</v>
      </c>
      <c r="F21" s="11">
        <v>0</v>
      </c>
      <c r="G21" s="10" t="e">
        <f>D21/(100/20)</f>
        <v>#N/A</v>
      </c>
      <c r="H21" s="12" t="e">
        <f t="shared" si="0"/>
        <v>#N/A</v>
      </c>
      <c r="I21" s="1"/>
      <c r="N21" s="42">
        <v>0.48</v>
      </c>
    </row>
    <row r="22" spans="1:14" ht="15.75" customHeight="1" thickTop="1" thickBot="1" x14ac:dyDescent="0.3">
      <c r="A22" s="1"/>
      <c r="B22" s="8" t="s">
        <v>48</v>
      </c>
      <c r="C22" s="8" t="s">
        <v>7</v>
      </c>
      <c r="D22" s="9" t="e">
        <f>VLOOKUP(B22,'Nutrition Plan'!$D$82:$F$92,3,0)</f>
        <v>#N/A</v>
      </c>
      <c r="E22" s="10" t="e">
        <f t="shared" ref="E22:E23" si="3">D22/(70/5)</f>
        <v>#N/A</v>
      </c>
      <c r="F22" s="11" t="e">
        <f>D22/(70/8)</f>
        <v>#N/A</v>
      </c>
      <c r="G22" s="10" t="e">
        <f t="shared" ref="G22:G23" si="4">D22/(70/27)</f>
        <v>#N/A</v>
      </c>
      <c r="H22" s="12" t="e">
        <f t="shared" si="0"/>
        <v>#N/A</v>
      </c>
      <c r="I22" s="1"/>
      <c r="N22" s="42">
        <v>0.49</v>
      </c>
    </row>
    <row r="23" spans="1:14" ht="15.75" customHeight="1" thickTop="1" thickBot="1" x14ac:dyDescent="0.3">
      <c r="A23" s="1"/>
      <c r="B23" s="8" t="s">
        <v>51</v>
      </c>
      <c r="C23" s="8" t="s">
        <v>7</v>
      </c>
      <c r="D23" s="9" t="e">
        <f>VLOOKUP(B23,'Nutrition Plan'!$D$82:$F$92,3,0)</f>
        <v>#N/A</v>
      </c>
      <c r="E23" s="10" t="e">
        <f t="shared" si="3"/>
        <v>#N/A</v>
      </c>
      <c r="F23" s="11" t="e">
        <f>D23/(70/2.5)</f>
        <v>#N/A</v>
      </c>
      <c r="G23" s="10" t="e">
        <f t="shared" si="4"/>
        <v>#N/A</v>
      </c>
      <c r="H23" s="12" t="e">
        <f t="shared" si="0"/>
        <v>#N/A</v>
      </c>
      <c r="I23" s="1"/>
      <c r="N23" s="42">
        <v>0.5</v>
      </c>
    </row>
    <row r="24" spans="1:14" ht="15.75" customHeight="1" thickTop="1" thickBot="1" x14ac:dyDescent="0.3">
      <c r="A24" s="1"/>
      <c r="B24" s="8" t="s">
        <v>54</v>
      </c>
      <c r="C24" s="8" t="s">
        <v>55</v>
      </c>
      <c r="D24" s="9" t="e">
        <f>VLOOKUP(B24,'Nutrition Plan'!$D$82:$F$92,3,0)</f>
        <v>#N/A</v>
      </c>
      <c r="E24" s="10" t="e">
        <f>D24/(2/5)</f>
        <v>#N/A</v>
      </c>
      <c r="F24" s="11" t="e">
        <f>D24/(2/5)</f>
        <v>#N/A</v>
      </c>
      <c r="G24" s="10" t="e">
        <f>D24/(2/25)</f>
        <v>#N/A</v>
      </c>
      <c r="H24" s="12" t="e">
        <f t="shared" si="0"/>
        <v>#N/A</v>
      </c>
      <c r="I24" s="1"/>
    </row>
    <row r="25" spans="1:14" ht="15.75" customHeight="1" thickTop="1" thickBot="1" x14ac:dyDescent="0.3">
      <c r="A25" s="1"/>
      <c r="B25" s="8" t="s">
        <v>179</v>
      </c>
      <c r="C25" s="8" t="s">
        <v>7</v>
      </c>
      <c r="D25" s="9" t="e">
        <f>VLOOKUP(B25,'Nutrition Plan'!$D$82:$F$92,3,0)</f>
        <v>#N/A</v>
      </c>
      <c r="E25" s="10" t="e">
        <f>D25/(100/2.4)</f>
        <v>#N/A</v>
      </c>
      <c r="F25" s="11" t="e">
        <f>D25/(100/0.15)</f>
        <v>#N/A</v>
      </c>
      <c r="G25" s="10" t="e">
        <f>D25/(100/24.2)</f>
        <v>#N/A</v>
      </c>
      <c r="H25" s="12" t="e">
        <f t="shared" si="0"/>
        <v>#N/A</v>
      </c>
      <c r="I25" s="1"/>
    </row>
    <row r="26" spans="1:14" ht="15.75" customHeight="1" thickTop="1" thickBot="1" x14ac:dyDescent="0.3">
      <c r="A26" s="1"/>
      <c r="B26" s="8" t="s">
        <v>57</v>
      </c>
      <c r="C26" s="8" t="s">
        <v>58</v>
      </c>
      <c r="D26" s="9" t="e">
        <f>VLOOKUP(B26,'Nutrition Plan'!$D$82:$F$92,3,0)</f>
        <v>#N/A</v>
      </c>
      <c r="E26" s="10" t="e">
        <f>D26/(1/8)</f>
        <v>#N/A</v>
      </c>
      <c r="F26" s="11" t="e">
        <f>D26/(1/3)</f>
        <v>#N/A</v>
      </c>
      <c r="G26" s="10" t="e">
        <f>D26/(1/7)</f>
        <v>#N/A</v>
      </c>
      <c r="H26" s="12" t="e">
        <f t="shared" si="0"/>
        <v>#N/A</v>
      </c>
      <c r="I26" s="1"/>
    </row>
    <row r="27" spans="1:14" ht="15.75" customHeight="1" thickTop="1" x14ac:dyDescent="0.3">
      <c r="A27" s="1"/>
      <c r="B27" s="173" t="s">
        <v>26</v>
      </c>
      <c r="C27" s="174"/>
      <c r="D27" s="174"/>
      <c r="E27" s="174"/>
      <c r="F27" s="174"/>
      <c r="G27" s="174"/>
      <c r="H27" s="134"/>
      <c r="I27" s="1"/>
    </row>
    <row r="28" spans="1:14" ht="15.75" customHeight="1" thickBot="1" x14ac:dyDescent="0.3">
      <c r="A28" s="1"/>
      <c r="B28" s="8" t="s">
        <v>60</v>
      </c>
      <c r="C28" s="8" t="s">
        <v>7</v>
      </c>
      <c r="D28" s="9" t="e">
        <f>VLOOKUP(B28,'Nutrition Plan'!$D$82:$F$92,3,0)</f>
        <v>#N/A</v>
      </c>
      <c r="E28" s="10" t="e">
        <f>D28/(28/2.95)</f>
        <v>#N/A</v>
      </c>
      <c r="F28" s="11" t="e">
        <f>D28/(28/0.64)</f>
        <v>#N/A</v>
      </c>
      <c r="G28" s="10" t="e">
        <f>D28/(28/1.34)</f>
        <v>#N/A</v>
      </c>
      <c r="H28" s="12" t="e">
        <f t="shared" ref="H28:H53" si="5">(E28*4)+(F28*9)+(G28*4)</f>
        <v>#N/A</v>
      </c>
      <c r="I28" s="1"/>
    </row>
    <row r="29" spans="1:14" ht="15.75" customHeight="1" thickTop="1" thickBot="1" x14ac:dyDescent="0.3">
      <c r="A29" s="1"/>
      <c r="B29" s="8" t="s">
        <v>61</v>
      </c>
      <c r="C29" s="8" t="s">
        <v>7</v>
      </c>
      <c r="D29" s="9" t="e">
        <f>VLOOKUP(B29,'Nutrition Plan'!$D$82:$F$92,3,0)</f>
        <v>#N/A</v>
      </c>
      <c r="E29" s="10" t="e">
        <f>D29/(100/18.94)</f>
        <v>#N/A</v>
      </c>
      <c r="F29" s="11" t="e">
        <f>D29/(100/26.05)</f>
        <v>#N/A</v>
      </c>
      <c r="G29" s="10" t="e">
        <f>D29/(100/6.94)</f>
        <v>#N/A</v>
      </c>
      <c r="H29" s="12" t="e">
        <f t="shared" si="5"/>
        <v>#N/A</v>
      </c>
      <c r="I29" s="1"/>
    </row>
    <row r="30" spans="1:14" ht="15.75" customHeight="1" thickTop="1" thickBot="1" x14ac:dyDescent="0.3">
      <c r="A30" s="1"/>
      <c r="B30" s="8" t="s">
        <v>62</v>
      </c>
      <c r="C30" s="8" t="s">
        <v>22</v>
      </c>
      <c r="D30" s="9" t="e">
        <f>VLOOKUP(B30,'Nutrition Plan'!$D$82:$F$92,3,0)</f>
        <v>#N/A</v>
      </c>
      <c r="E30" s="10" t="e">
        <f>D30/(1/4)</f>
        <v>#N/A</v>
      </c>
      <c r="F30" s="11" t="e">
        <f>D30/(1/6)</f>
        <v>#N/A</v>
      </c>
      <c r="G30" s="10">
        <f>0</f>
        <v>0</v>
      </c>
      <c r="H30" s="12" t="e">
        <f t="shared" si="5"/>
        <v>#N/A</v>
      </c>
      <c r="I30" s="1"/>
    </row>
    <row r="31" spans="1:14" ht="15.75" customHeight="1" thickTop="1" thickBot="1" x14ac:dyDescent="0.3">
      <c r="A31" s="1"/>
      <c r="B31" s="8" t="s">
        <v>63</v>
      </c>
      <c r="C31" s="8" t="s">
        <v>7</v>
      </c>
      <c r="D31" s="9" t="e">
        <f>VLOOKUP(B31,'Nutrition Plan'!$D$82:$F$92,3,0)</f>
        <v>#N/A</v>
      </c>
      <c r="E31" s="10" t="e">
        <f>D31/(100/14.21)</f>
        <v>#N/A</v>
      </c>
      <c r="F31" s="11" t="e">
        <f>D31/(100/21.28)</f>
        <v>#N/A</v>
      </c>
      <c r="G31" s="10" t="e">
        <f>D31/(100/4.09)</f>
        <v>#N/A</v>
      </c>
      <c r="H31" s="12" t="e">
        <f t="shared" si="5"/>
        <v>#N/A</v>
      </c>
      <c r="I31" s="1"/>
    </row>
    <row r="32" spans="1:14" ht="15.75" customHeight="1" thickTop="1" thickBot="1" x14ac:dyDescent="0.3">
      <c r="A32" s="1"/>
      <c r="B32" s="8" t="s">
        <v>64</v>
      </c>
      <c r="C32" s="8" t="s">
        <v>7</v>
      </c>
      <c r="D32" s="9" t="e">
        <f>VLOOKUP(B32,'Nutrition Plan'!$D$82:$F$92,3,0)</f>
        <v>#N/A</v>
      </c>
      <c r="E32" s="10" t="e">
        <f>D32/(28/6)</f>
        <v>#N/A</v>
      </c>
      <c r="F32" s="11" t="e">
        <f>D32/(28/4)</f>
        <v>#N/A</v>
      </c>
      <c r="G32" s="10" t="e">
        <f>D32/(28/3)</f>
        <v>#N/A</v>
      </c>
      <c r="H32" s="12" t="e">
        <f t="shared" si="5"/>
        <v>#N/A</v>
      </c>
      <c r="I32" s="1"/>
    </row>
    <row r="33" spans="1:9" ht="15.75" customHeight="1" thickTop="1" thickBot="1" x14ac:dyDescent="0.3">
      <c r="A33" s="1"/>
      <c r="B33" s="8" t="s">
        <v>65</v>
      </c>
      <c r="C33" s="8" t="s">
        <v>22</v>
      </c>
      <c r="D33" s="9" t="e">
        <f>VLOOKUP(B33,'Nutrition Plan'!$D$82:$F$92,3,0)</f>
        <v>#N/A</v>
      </c>
      <c r="E33" s="10" t="e">
        <f t="shared" ref="E33:E34" si="6">D33/(1/3)</f>
        <v>#N/A</v>
      </c>
      <c r="F33" s="11" t="e">
        <f>D33/(1/2.5)</f>
        <v>#N/A</v>
      </c>
      <c r="G33" s="10" t="e">
        <f t="shared" ref="G33:G34" si="7">D33/(1/1)</f>
        <v>#N/A</v>
      </c>
      <c r="H33" s="12" t="e">
        <f t="shared" si="5"/>
        <v>#N/A</v>
      </c>
      <c r="I33" s="1"/>
    </row>
    <row r="34" spans="1:9" ht="15.75" customHeight="1" thickTop="1" thickBot="1" x14ac:dyDescent="0.3">
      <c r="A34" s="1"/>
      <c r="B34" s="8" t="s">
        <v>66</v>
      </c>
      <c r="C34" s="8" t="s">
        <v>22</v>
      </c>
      <c r="D34" s="9" t="e">
        <f>VLOOKUP(B34,'Nutrition Plan'!$D$82:$F$92,3,0)</f>
        <v>#N/A</v>
      </c>
      <c r="E34" s="10" t="e">
        <f t="shared" si="6"/>
        <v>#N/A</v>
      </c>
      <c r="F34" s="11" t="e">
        <f>D34/(1/3)</f>
        <v>#N/A</v>
      </c>
      <c r="G34" s="10" t="e">
        <f t="shared" si="7"/>
        <v>#N/A</v>
      </c>
      <c r="H34" s="12" t="e">
        <f t="shared" si="5"/>
        <v>#N/A</v>
      </c>
      <c r="I34" s="1"/>
    </row>
    <row r="35" spans="1:9" ht="15.75" customHeight="1" thickTop="1" thickBot="1" x14ac:dyDescent="0.3">
      <c r="A35" s="1"/>
      <c r="B35" s="8" t="s">
        <v>67</v>
      </c>
      <c r="C35" s="8" t="s">
        <v>7</v>
      </c>
      <c r="D35" s="9" t="e">
        <f>VLOOKUP(B35,'Nutrition Plan'!$D$82:$F$92,3,0)</f>
        <v>#N/A</v>
      </c>
      <c r="E35" s="10" t="e">
        <f>D35/(28/9)</f>
        <v>#N/A</v>
      </c>
      <c r="F35" s="11">
        <f>0</f>
        <v>0</v>
      </c>
      <c r="G35" s="10" t="e">
        <f>D35/(28/2)</f>
        <v>#N/A</v>
      </c>
      <c r="H35" s="12" t="e">
        <f t="shared" si="5"/>
        <v>#N/A</v>
      </c>
      <c r="I35" s="1"/>
    </row>
    <row r="36" spans="1:9" ht="15.75" customHeight="1" thickTop="1" thickBot="1" x14ac:dyDescent="0.3">
      <c r="A36" s="1"/>
      <c r="B36" s="8" t="s">
        <v>68</v>
      </c>
      <c r="C36" s="8" t="s">
        <v>22</v>
      </c>
      <c r="D36" s="9" t="e">
        <f>VLOOKUP(B36,'Nutrition Plan'!$D$82:$F$92,3,0)</f>
        <v>#N/A</v>
      </c>
      <c r="E36" s="10" t="e">
        <f>D36/(1/5)</f>
        <v>#N/A</v>
      </c>
      <c r="F36" s="11" t="e">
        <f>D36/(1/5)</f>
        <v>#N/A</v>
      </c>
      <c r="G36" s="10">
        <f>0</f>
        <v>0</v>
      </c>
      <c r="H36" s="12" t="e">
        <f t="shared" si="5"/>
        <v>#N/A</v>
      </c>
      <c r="I36" s="1"/>
    </row>
    <row r="37" spans="1:9" ht="15.75" customHeight="1" thickTop="1" thickBot="1" x14ac:dyDescent="0.3">
      <c r="A37" s="1"/>
      <c r="B37" s="8" t="s">
        <v>69</v>
      </c>
      <c r="C37" s="8" t="s">
        <v>7</v>
      </c>
      <c r="D37" s="9" t="e">
        <f>VLOOKUP(B37,'Nutrition Plan'!$D$82:$F$92,3,0)</f>
        <v>#N/A</v>
      </c>
      <c r="E37" s="10" t="e">
        <f t="shared" ref="E37:E38" si="8">D37/(28/8)</f>
        <v>#N/A</v>
      </c>
      <c r="F37" s="11" t="e">
        <f>D37/(28/4.5)</f>
        <v>#N/A</v>
      </c>
      <c r="G37" s="10" t="e">
        <f t="shared" ref="G37:G38" si="9">D37/(28/1)</f>
        <v>#N/A</v>
      </c>
      <c r="H37" s="12" t="e">
        <f t="shared" si="5"/>
        <v>#N/A</v>
      </c>
      <c r="I37" s="1"/>
    </row>
    <row r="38" spans="1:9" ht="15.75" customHeight="1" thickTop="1" thickBot="1" x14ac:dyDescent="0.3">
      <c r="A38" s="1"/>
      <c r="B38" s="8" t="s">
        <v>71</v>
      </c>
      <c r="C38" s="8" t="s">
        <v>7</v>
      </c>
      <c r="D38" s="9" t="e">
        <f>VLOOKUP(B38,'Nutrition Plan'!$D$82:$F$92,3,0)</f>
        <v>#N/A</v>
      </c>
      <c r="E38" s="10" t="e">
        <f t="shared" si="8"/>
        <v>#N/A</v>
      </c>
      <c r="F38" s="11" t="e">
        <f>D38/(28/6)</f>
        <v>#N/A</v>
      </c>
      <c r="G38" s="10" t="e">
        <f t="shared" si="9"/>
        <v>#N/A</v>
      </c>
      <c r="H38" s="12" t="e">
        <f t="shared" si="5"/>
        <v>#N/A</v>
      </c>
      <c r="I38" s="1"/>
    </row>
    <row r="39" spans="1:9" ht="15.75" customHeight="1" thickTop="1" thickBot="1" x14ac:dyDescent="0.3">
      <c r="A39" s="1"/>
      <c r="B39" s="8" t="s">
        <v>72</v>
      </c>
      <c r="C39" s="8" t="s">
        <v>7</v>
      </c>
      <c r="D39" s="9" t="e">
        <f>VLOOKUP(B39,'Nutrition Plan'!$D$82:$F$92,3,0)</f>
        <v>#N/A</v>
      </c>
      <c r="E39" s="10" t="e">
        <f>D39/(100/11.39)</f>
        <v>#N/A</v>
      </c>
      <c r="F39" s="11" t="e">
        <f>D39/(100/7.91)</f>
        <v>#N/A</v>
      </c>
      <c r="G39" s="10" t="e">
        <f>D39/(100/5.4)</f>
        <v>#N/A</v>
      </c>
      <c r="H39" s="12" t="e">
        <f t="shared" si="5"/>
        <v>#N/A</v>
      </c>
      <c r="I39" s="1"/>
    </row>
    <row r="40" spans="1:9" ht="15.75" customHeight="1" thickTop="1" thickBot="1" x14ac:dyDescent="0.3">
      <c r="A40" s="1"/>
      <c r="B40" s="8" t="s">
        <v>73</v>
      </c>
      <c r="C40" s="8" t="s">
        <v>7</v>
      </c>
      <c r="D40" s="9" t="e">
        <f>VLOOKUP(B40,'Nutrition Plan'!$D$82:$F$92,3,0)</f>
        <v>#N/A</v>
      </c>
      <c r="E40" s="10" t="e">
        <f>D40/(100/9.8)</f>
        <v>#N/A</v>
      </c>
      <c r="F40" s="11">
        <f>0</f>
        <v>0</v>
      </c>
      <c r="G40" s="10" t="e">
        <f>D40/(100/1.6)</f>
        <v>#N/A</v>
      </c>
      <c r="H40" s="12" t="e">
        <f t="shared" si="5"/>
        <v>#N/A</v>
      </c>
      <c r="I40" s="1"/>
    </row>
    <row r="41" spans="1:9" ht="15.75" customHeight="1" thickTop="1" thickBot="1" x14ac:dyDescent="0.3">
      <c r="A41" s="1"/>
      <c r="B41" s="8" t="s">
        <v>74</v>
      </c>
      <c r="C41" s="8" t="s">
        <v>75</v>
      </c>
      <c r="D41" s="9" t="e">
        <f>VLOOKUP(B41,'Nutrition Plan'!$D$82:$F$92,3,0)</f>
        <v>#N/A</v>
      </c>
      <c r="E41" s="10" t="e">
        <f>D41/(1/3.6)</f>
        <v>#N/A</v>
      </c>
      <c r="F41" s="11" t="e">
        <f>D41/(1/0.06)</f>
        <v>#N/A</v>
      </c>
      <c r="G41" s="10" t="e">
        <f>D41/(1/0.24)</f>
        <v>#N/A</v>
      </c>
      <c r="H41" s="12" t="e">
        <f t="shared" si="5"/>
        <v>#N/A</v>
      </c>
      <c r="I41" s="1"/>
    </row>
    <row r="42" spans="1:9" ht="15.75" customHeight="1" thickTop="1" thickBot="1" x14ac:dyDescent="0.3">
      <c r="A42" s="1"/>
      <c r="B42" s="8" t="s">
        <v>77</v>
      </c>
      <c r="C42" s="8" t="s">
        <v>75</v>
      </c>
      <c r="D42" s="9" t="e">
        <f>VLOOKUP(B42,'Nutrition Plan'!$D$82:$F$92,3,0)</f>
        <v>#N/A</v>
      </c>
      <c r="E42" s="10" t="e">
        <f>D42/(1/6.28)</f>
        <v>#N/A</v>
      </c>
      <c r="F42" s="11" t="e">
        <f>D42/(1/4.76)</f>
        <v>#N/A</v>
      </c>
      <c r="G42" s="10" t="e">
        <f>D42/(1/0.36)</f>
        <v>#N/A</v>
      </c>
      <c r="H42" s="12" t="e">
        <f t="shared" si="5"/>
        <v>#N/A</v>
      </c>
      <c r="I42" s="1"/>
    </row>
    <row r="43" spans="1:9" ht="15.75" customHeight="1" thickTop="1" thickBot="1" x14ac:dyDescent="0.3">
      <c r="A43" s="1"/>
      <c r="B43" s="8" t="s">
        <v>78</v>
      </c>
      <c r="C43" s="8" t="s">
        <v>75</v>
      </c>
      <c r="D43" s="9" t="e">
        <f>VLOOKUP(B43,'Nutrition Plan'!$D$82:$F$92,3,0)</f>
        <v>#N/A</v>
      </c>
      <c r="E43" s="10" t="e">
        <f>D43/(1/7)</f>
        <v>#N/A</v>
      </c>
      <c r="F43" s="11" t="e">
        <f>D43/(1/4.5)</f>
        <v>#N/A</v>
      </c>
      <c r="G43" s="10">
        <v>0</v>
      </c>
      <c r="H43" s="12" t="e">
        <f t="shared" si="5"/>
        <v>#N/A</v>
      </c>
      <c r="I43" s="1"/>
    </row>
    <row r="44" spans="1:9" ht="15.75" customHeight="1" thickTop="1" thickBot="1" x14ac:dyDescent="0.3">
      <c r="A44" s="1"/>
      <c r="B44" s="8" t="s">
        <v>79</v>
      </c>
      <c r="C44" s="8" t="s">
        <v>7</v>
      </c>
      <c r="D44" s="9" t="e">
        <f>VLOOKUP(B44,'Nutrition Plan'!$D$82:$F$92,3,0)</f>
        <v>#N/A</v>
      </c>
      <c r="E44" s="10" t="e">
        <f t="shared" ref="E44:E45" si="10">D44/(46/5)</f>
        <v>#N/A</v>
      </c>
      <c r="F44" s="11">
        <f t="shared" ref="F44:F45" si="11">0</f>
        <v>0</v>
      </c>
      <c r="G44" s="10" t="e">
        <f>D44/(46/0.75)</f>
        <v>#N/A</v>
      </c>
      <c r="H44" s="12" t="e">
        <f t="shared" si="5"/>
        <v>#N/A</v>
      </c>
      <c r="I44" s="1"/>
    </row>
    <row r="45" spans="1:9" ht="15.75" customHeight="1" thickTop="1" thickBot="1" x14ac:dyDescent="0.3">
      <c r="A45" s="1"/>
      <c r="B45" s="8" t="s">
        <v>80</v>
      </c>
      <c r="C45" s="8" t="s">
        <v>7</v>
      </c>
      <c r="D45" s="9" t="e">
        <f>VLOOKUP(B45,'Nutrition Plan'!$D$82:$F$92,3,0)</f>
        <v>#N/A</v>
      </c>
      <c r="E45" s="10" t="e">
        <f t="shared" si="10"/>
        <v>#N/A</v>
      </c>
      <c r="F45" s="11">
        <f t="shared" si="11"/>
        <v>0</v>
      </c>
      <c r="G45" s="10">
        <f>0</f>
        <v>0</v>
      </c>
      <c r="H45" s="12" t="e">
        <f t="shared" si="5"/>
        <v>#N/A</v>
      </c>
      <c r="I45" s="1"/>
    </row>
    <row r="46" spans="1:9" ht="15.75" customHeight="1" thickTop="1" thickBot="1" x14ac:dyDescent="0.3">
      <c r="A46" s="1"/>
      <c r="B46" s="8" t="s">
        <v>81</v>
      </c>
      <c r="C46" s="8" t="s">
        <v>82</v>
      </c>
      <c r="D46" s="9" t="e">
        <f>VLOOKUP(B46,'Nutrition Plan'!$D$82:$F$92,3,0)</f>
        <v>#N/A</v>
      </c>
      <c r="E46" s="10" t="e">
        <f t="shared" ref="E46:E47" si="12">D46/(8/8)</f>
        <v>#N/A</v>
      </c>
      <c r="F46" s="11" t="e">
        <f>D46/(8/2.4)</f>
        <v>#N/A</v>
      </c>
      <c r="G46" s="10" t="e">
        <f t="shared" ref="G46:G47" si="13">D46/(8/12)</f>
        <v>#N/A</v>
      </c>
      <c r="H46" s="12" t="e">
        <f t="shared" si="5"/>
        <v>#N/A</v>
      </c>
      <c r="I46" s="1"/>
    </row>
    <row r="47" spans="1:9" ht="15.75" customHeight="1" thickTop="1" thickBot="1" x14ac:dyDescent="0.3">
      <c r="A47" s="1"/>
      <c r="B47" s="8" t="s">
        <v>83</v>
      </c>
      <c r="C47" s="8" t="s">
        <v>82</v>
      </c>
      <c r="D47" s="9" t="e">
        <f>VLOOKUP(B47,'Nutrition Plan'!$D$82:$F$92,3,0)</f>
        <v>#N/A</v>
      </c>
      <c r="E47" s="10" t="e">
        <f t="shared" si="12"/>
        <v>#N/A</v>
      </c>
      <c r="F47" s="11" t="e">
        <f>D47/(8/4.9)</f>
        <v>#N/A</v>
      </c>
      <c r="G47" s="10" t="e">
        <f t="shared" si="13"/>
        <v>#N/A</v>
      </c>
      <c r="H47" s="12" t="e">
        <f t="shared" si="5"/>
        <v>#N/A</v>
      </c>
      <c r="I47" s="1"/>
    </row>
    <row r="48" spans="1:9" ht="15.75" customHeight="1" thickTop="1" thickBot="1" x14ac:dyDescent="0.3">
      <c r="A48" s="1"/>
      <c r="B48" s="8" t="s">
        <v>84</v>
      </c>
      <c r="C48" s="8" t="s">
        <v>82</v>
      </c>
      <c r="D48" s="9" t="e">
        <f>VLOOKUP(B48,'Nutrition Plan'!$D$82:$F$92,3,0)</f>
        <v>#N/A</v>
      </c>
      <c r="E48" s="10" t="e">
        <f t="shared" ref="E48:E50" si="14">D48/(8/1)</f>
        <v>#N/A</v>
      </c>
      <c r="F48" s="11" t="e">
        <f>D48/(8/2.5)</f>
        <v>#N/A</v>
      </c>
      <c r="G48" s="10" t="e">
        <f t="shared" ref="G48:G50" si="15">D48/(8/1)</f>
        <v>#N/A</v>
      </c>
      <c r="H48" s="12" t="e">
        <f t="shared" si="5"/>
        <v>#N/A</v>
      </c>
      <c r="I48" s="1"/>
    </row>
    <row r="49" spans="1:9" ht="15.75" customHeight="1" thickTop="1" thickBot="1" x14ac:dyDescent="0.3">
      <c r="A49" s="1"/>
      <c r="B49" s="8" t="s">
        <v>85</v>
      </c>
      <c r="C49" s="8" t="s">
        <v>82</v>
      </c>
      <c r="D49" s="9" t="e">
        <f>VLOOKUP(B49,'Nutrition Plan'!$D$82:$F$92,3,0)</f>
        <v>#N/A</v>
      </c>
      <c r="E49" s="10" t="e">
        <f t="shared" si="14"/>
        <v>#N/A</v>
      </c>
      <c r="F49" s="11" t="e">
        <f>D49/(8/2)</f>
        <v>#N/A</v>
      </c>
      <c r="G49" s="10" t="e">
        <f t="shared" si="15"/>
        <v>#N/A</v>
      </c>
      <c r="H49" s="12" t="e">
        <f t="shared" si="5"/>
        <v>#N/A</v>
      </c>
      <c r="I49" s="1"/>
    </row>
    <row r="50" spans="1:9" ht="15.75" customHeight="1" thickTop="1" thickBot="1" x14ac:dyDescent="0.3">
      <c r="A50" s="1"/>
      <c r="B50" s="8" t="s">
        <v>86</v>
      </c>
      <c r="C50" s="8" t="s">
        <v>82</v>
      </c>
      <c r="D50" s="9" t="e">
        <f>VLOOKUP(B50,'Nutrition Plan'!$D$82:$F$92,3,0)</f>
        <v>#N/A</v>
      </c>
      <c r="E50" s="10" t="e">
        <f t="shared" si="14"/>
        <v>#N/A</v>
      </c>
      <c r="F50" s="11" t="e">
        <f>D50/(8/3.5)</f>
        <v>#N/A</v>
      </c>
      <c r="G50" s="10" t="e">
        <f t="shared" si="15"/>
        <v>#N/A</v>
      </c>
      <c r="H50" s="12" t="e">
        <f t="shared" si="5"/>
        <v>#N/A</v>
      </c>
      <c r="I50" s="1"/>
    </row>
    <row r="51" spans="1:9" ht="15.75" customHeight="1" thickTop="1" thickBot="1" x14ac:dyDescent="0.3">
      <c r="A51" s="1"/>
      <c r="B51" s="8" t="s">
        <v>87</v>
      </c>
      <c r="C51" s="8" t="s">
        <v>82</v>
      </c>
      <c r="D51" s="9" t="e">
        <f>VLOOKUP(B51,'Nutrition Plan'!$D$82:$F$92,3,0)</f>
        <v>#N/A</v>
      </c>
      <c r="E51" s="10" t="e">
        <f t="shared" ref="E51:E52" si="16">D51/(8/8)</f>
        <v>#N/A</v>
      </c>
      <c r="F51" s="11" t="e">
        <f>D51/(8/0.2)</f>
        <v>#N/A</v>
      </c>
      <c r="G51" s="10" t="e">
        <f t="shared" ref="G51:G52" si="17">D51/(8/12)</f>
        <v>#N/A</v>
      </c>
      <c r="H51" s="12" t="e">
        <f t="shared" si="5"/>
        <v>#N/A</v>
      </c>
      <c r="I51" s="1"/>
    </row>
    <row r="52" spans="1:9" ht="15.75" customHeight="1" thickTop="1" thickBot="1" x14ac:dyDescent="0.3">
      <c r="A52" s="1"/>
      <c r="B52" s="8" t="s">
        <v>89</v>
      </c>
      <c r="C52" s="8" t="s">
        <v>82</v>
      </c>
      <c r="D52" s="9" t="e">
        <f>VLOOKUP(B52,'Nutrition Plan'!$D$82:$F$92,3,0)</f>
        <v>#N/A</v>
      </c>
      <c r="E52" s="10" t="e">
        <f t="shared" si="16"/>
        <v>#N/A</v>
      </c>
      <c r="F52" s="11" t="e">
        <f>D52/(8/8)</f>
        <v>#N/A</v>
      </c>
      <c r="G52" s="10" t="e">
        <f t="shared" si="17"/>
        <v>#N/A</v>
      </c>
      <c r="H52" s="12" t="e">
        <f t="shared" si="5"/>
        <v>#N/A</v>
      </c>
      <c r="I52" s="1"/>
    </row>
    <row r="53" spans="1:9" ht="15.75" customHeight="1" thickTop="1" thickBot="1" x14ac:dyDescent="0.3">
      <c r="A53" s="1"/>
      <c r="B53" s="8" t="s">
        <v>90</v>
      </c>
      <c r="C53" s="8" t="s">
        <v>7</v>
      </c>
      <c r="D53" s="9" t="e">
        <f>VLOOKUP(B53,'Nutrition Plan'!$D$82:$F$92,3,0)</f>
        <v>#N/A</v>
      </c>
      <c r="E53" s="10" t="e">
        <f>D53/(224/22.7)</f>
        <v>#N/A</v>
      </c>
      <c r="F53" s="11">
        <f>0</f>
        <v>0</v>
      </c>
      <c r="G53" s="10" t="e">
        <f>D53/(224/10.6)</f>
        <v>#N/A</v>
      </c>
      <c r="H53" s="12" t="e">
        <f t="shared" si="5"/>
        <v>#N/A</v>
      </c>
      <c r="I53" s="1"/>
    </row>
    <row r="54" spans="1:9" ht="15.75" customHeight="1" thickTop="1" x14ac:dyDescent="0.3">
      <c r="A54" s="1"/>
      <c r="B54" s="173" t="s">
        <v>5</v>
      </c>
      <c r="C54" s="174"/>
      <c r="D54" s="174"/>
      <c r="E54" s="174"/>
      <c r="F54" s="174"/>
      <c r="G54" s="174"/>
      <c r="H54" s="134"/>
      <c r="I54" s="1"/>
    </row>
    <row r="55" spans="1:9" ht="15.75" customHeight="1" thickBot="1" x14ac:dyDescent="0.3">
      <c r="A55" s="1"/>
      <c r="B55" s="8" t="s">
        <v>91</v>
      </c>
      <c r="C55" s="8" t="s">
        <v>7</v>
      </c>
      <c r="D55" s="9" t="e">
        <f>VLOOKUP(B55,'Nutrition Plan'!$D$82:$F$92,3,0)</f>
        <v>#N/A</v>
      </c>
      <c r="E55" s="10" t="e">
        <f>D55/(32/6)</f>
        <v>#N/A</v>
      </c>
      <c r="F55" s="11" t="e">
        <f>D55/(32/16)</f>
        <v>#N/A</v>
      </c>
      <c r="G55" s="10" t="e">
        <f>D55/(32/7)</f>
        <v>#N/A</v>
      </c>
      <c r="H55" s="12" t="e">
        <f t="shared" ref="H55:H71" si="18">(E55*4)+(F55*9)+(G55*4)</f>
        <v>#N/A</v>
      </c>
      <c r="I55" s="1"/>
    </row>
    <row r="56" spans="1:9" ht="15.75" customHeight="1" thickTop="1" thickBot="1" x14ac:dyDescent="0.3">
      <c r="A56" s="1"/>
      <c r="B56" s="8" t="s">
        <v>92</v>
      </c>
      <c r="C56" s="8" t="s">
        <v>7</v>
      </c>
      <c r="D56" s="9" t="e">
        <f>VLOOKUP(B56,'Nutrition Plan'!$D$82:$F$92,3,0)</f>
        <v>#N/A</v>
      </c>
      <c r="E56" s="10" t="e">
        <f>D56/(32/7)</f>
        <v>#N/A</v>
      </c>
      <c r="F56" s="11" t="e">
        <f>D56/(32/18)</f>
        <v>#N/A</v>
      </c>
      <c r="G56" s="10" t="e">
        <f>D56/(32/6)</f>
        <v>#N/A</v>
      </c>
      <c r="H56" s="12" t="e">
        <f t="shared" si="18"/>
        <v>#N/A</v>
      </c>
      <c r="I56" s="1"/>
    </row>
    <row r="57" spans="1:9" ht="15.75" customHeight="1" thickTop="1" thickBot="1" x14ac:dyDescent="0.3">
      <c r="A57" s="1"/>
      <c r="B57" s="8" t="s">
        <v>93</v>
      </c>
      <c r="C57" s="8" t="s">
        <v>7</v>
      </c>
      <c r="D57" s="9" t="e">
        <f>VLOOKUP(B57,'Nutrition Plan'!$D$82:$F$92,3,0)</f>
        <v>#N/A</v>
      </c>
      <c r="E57" s="10" t="e">
        <f>D57/(12/4)</f>
        <v>#N/A</v>
      </c>
      <c r="F57" s="11" t="e">
        <f>D57/(12/1.5)</f>
        <v>#N/A</v>
      </c>
      <c r="G57" s="10" t="e">
        <f>D57/(12/5)</f>
        <v>#N/A</v>
      </c>
      <c r="H57" s="12" t="e">
        <f t="shared" si="18"/>
        <v>#N/A</v>
      </c>
      <c r="I57" s="1"/>
    </row>
    <row r="58" spans="1:9" ht="15.75" customHeight="1" thickTop="1" thickBot="1" x14ac:dyDescent="0.3">
      <c r="A58" s="1"/>
      <c r="B58" s="8" t="s">
        <v>95</v>
      </c>
      <c r="C58" s="8" t="s">
        <v>7</v>
      </c>
      <c r="D58" s="9" t="e">
        <f>VLOOKUP(B58,'Nutrition Plan'!$D$82:$F$92,3,0)</f>
        <v>#N/A</v>
      </c>
      <c r="E58" s="10" t="e">
        <f>D58/(14/7)</f>
        <v>#N/A</v>
      </c>
      <c r="F58" s="11" t="e">
        <f>D58/(14/2)</f>
        <v>#N/A</v>
      </c>
      <c r="G58" s="10" t="e">
        <f>D58/(14/3)</f>
        <v>#N/A</v>
      </c>
      <c r="H58" s="12" t="e">
        <f t="shared" si="18"/>
        <v>#N/A</v>
      </c>
      <c r="I58" s="1"/>
    </row>
    <row r="59" spans="1:9" ht="15.75" customHeight="1" thickTop="1" thickBot="1" x14ac:dyDescent="0.3">
      <c r="A59" s="1"/>
      <c r="B59" s="8" t="s">
        <v>96</v>
      </c>
      <c r="C59" s="8" t="s">
        <v>7</v>
      </c>
      <c r="D59" s="9" t="e">
        <f>VLOOKUP(B59,'Nutrition Plan'!$D$82:$F$92,3,0)</f>
        <v>#N/A</v>
      </c>
      <c r="E59" s="10" t="e">
        <f>D59/(12/6)</f>
        <v>#N/A</v>
      </c>
      <c r="F59" s="11" t="e">
        <f>D59/(12/1.5)</f>
        <v>#N/A</v>
      </c>
      <c r="G59" s="10" t="e">
        <f>D59/(12/3)</f>
        <v>#N/A</v>
      </c>
      <c r="H59" s="12" t="e">
        <f t="shared" si="18"/>
        <v>#N/A</v>
      </c>
      <c r="I59" s="1"/>
    </row>
    <row r="60" spans="1:9" ht="15.75" customHeight="1" thickTop="1" thickBot="1" x14ac:dyDescent="0.3">
      <c r="A60" s="1"/>
      <c r="B60" s="8" t="s">
        <v>97</v>
      </c>
      <c r="C60" s="8" t="s">
        <v>7</v>
      </c>
      <c r="D60" s="9" t="e">
        <f>VLOOKUP(B60,'Nutrition Plan'!$D$82:$F$92,3,0)</f>
        <v>#N/A</v>
      </c>
      <c r="E60" s="10" t="e">
        <f>D60/(32/7)</f>
        <v>#N/A</v>
      </c>
      <c r="F60" s="11" t="e">
        <f>D60/(32/16)</f>
        <v>#N/A</v>
      </c>
      <c r="G60" s="10" t="e">
        <f>D60/(32/6)</f>
        <v>#N/A</v>
      </c>
      <c r="H60" s="12" t="e">
        <f t="shared" si="18"/>
        <v>#N/A</v>
      </c>
      <c r="I60" s="1"/>
    </row>
    <row r="61" spans="1:9" ht="15.75" customHeight="1" thickTop="1" thickBot="1" x14ac:dyDescent="0.3">
      <c r="A61" s="1"/>
      <c r="B61" s="8" t="s">
        <v>98</v>
      </c>
      <c r="C61" s="8" t="s">
        <v>7</v>
      </c>
      <c r="D61" s="9" t="e">
        <f>VLOOKUP(B61,'Nutrition Plan'!$D$82:$F$92,3,0)</f>
        <v>#N/A</v>
      </c>
      <c r="E61" s="10" t="e">
        <f>D61/(28/6)</f>
        <v>#N/A</v>
      </c>
      <c r="F61" s="11" t="e">
        <f>D61/(28/14)</f>
        <v>#N/A</v>
      </c>
      <c r="G61" s="10" t="e">
        <f>D61/(28/5.6)</f>
        <v>#N/A</v>
      </c>
      <c r="H61" s="12" t="e">
        <f t="shared" si="18"/>
        <v>#N/A</v>
      </c>
      <c r="I61" s="1"/>
    </row>
    <row r="62" spans="1:9" ht="15.75" customHeight="1" thickTop="1" thickBot="1" x14ac:dyDescent="0.3">
      <c r="A62" s="1"/>
      <c r="B62" s="8" t="s">
        <v>99</v>
      </c>
      <c r="C62" s="8" t="s">
        <v>7</v>
      </c>
      <c r="D62" s="9" t="e">
        <f>VLOOKUP(B62,'Nutrition Plan'!$D$82:$F$92,3,0)</f>
        <v>#N/A</v>
      </c>
      <c r="E62" s="10" t="e">
        <f>D62/(100/18.22)</f>
        <v>#N/A</v>
      </c>
      <c r="F62" s="11" t="e">
        <f>D62/(100/43.85)</f>
        <v>#N/A</v>
      </c>
      <c r="G62" s="10" t="e">
        <f>D62/(100/30.19)</f>
        <v>#N/A</v>
      </c>
      <c r="H62" s="12" t="e">
        <f t="shared" si="18"/>
        <v>#N/A</v>
      </c>
      <c r="I62" s="1"/>
    </row>
    <row r="63" spans="1:9" ht="15.75" customHeight="1" thickTop="1" thickBot="1" x14ac:dyDescent="0.3">
      <c r="A63" s="1"/>
      <c r="B63" s="8" t="s">
        <v>100</v>
      </c>
      <c r="C63" s="8" t="s">
        <v>7</v>
      </c>
      <c r="D63" s="9" t="e">
        <f>VLOOKUP(B63,'Nutrition Plan'!$D$82:$F$92,3,0)</f>
        <v>#N/A</v>
      </c>
      <c r="E63" s="10" t="e">
        <f>D63/(28/7)</f>
        <v>#N/A</v>
      </c>
      <c r="F63" s="11" t="e">
        <f>D63/(28/14)</f>
        <v>#N/A</v>
      </c>
      <c r="G63" s="10" t="e">
        <f>D63/(28/5)</f>
        <v>#N/A</v>
      </c>
      <c r="H63" s="12" t="e">
        <f t="shared" si="18"/>
        <v>#N/A</v>
      </c>
      <c r="I63" s="1"/>
    </row>
    <row r="64" spans="1:9" ht="15.75" customHeight="1" thickTop="1" thickBot="1" x14ac:dyDescent="0.3">
      <c r="A64" s="1"/>
      <c r="B64" s="8" t="s">
        <v>101</v>
      </c>
      <c r="C64" s="8" t="s">
        <v>7</v>
      </c>
      <c r="D64" s="9" t="e">
        <f>VLOOKUP(B64,'Nutrition Plan'!$D$82:$F$92,3,0)</f>
        <v>#N/A</v>
      </c>
      <c r="E64" s="10" t="e">
        <f>D64/(28/6)</f>
        <v>#N/A</v>
      </c>
      <c r="F64" s="11" t="e">
        <f>D64/(28/12)</f>
        <v>#N/A</v>
      </c>
      <c r="G64" s="10" t="e">
        <f>D64/(28/8)</f>
        <v>#N/A</v>
      </c>
      <c r="H64" s="12" t="e">
        <f t="shared" si="18"/>
        <v>#N/A</v>
      </c>
      <c r="I64" s="1"/>
    </row>
    <row r="65" spans="1:9" ht="15.75" customHeight="1" thickTop="1" thickBot="1" x14ac:dyDescent="0.3">
      <c r="A65" s="1"/>
      <c r="B65" s="8" t="s">
        <v>102</v>
      </c>
      <c r="C65" s="8" t="s">
        <v>7</v>
      </c>
      <c r="D65" s="9" t="e">
        <f>VLOOKUP(B65,'Nutrition Plan'!$D$82:$F$92,3,0)</f>
        <v>#N/A</v>
      </c>
      <c r="E65" s="10" t="e">
        <f>D65/(28/4)</f>
        <v>#N/A</v>
      </c>
      <c r="F65" s="11" t="e">
        <f>D65/(28/18)</f>
        <v>#N/A</v>
      </c>
      <c r="G65" s="10" t="e">
        <f>D65/(28/4)</f>
        <v>#N/A</v>
      </c>
      <c r="H65" s="12" t="e">
        <f t="shared" si="18"/>
        <v>#N/A</v>
      </c>
      <c r="I65" s="1"/>
    </row>
    <row r="66" spans="1:9" ht="15.75" customHeight="1" thickTop="1" thickBot="1" x14ac:dyDescent="0.3">
      <c r="A66" s="1"/>
      <c r="B66" s="8" t="s">
        <v>103</v>
      </c>
      <c r="C66" s="8" t="s">
        <v>7</v>
      </c>
      <c r="D66" s="9" t="e">
        <f>VLOOKUP(B66,'Nutrition Plan'!$D$82:$F$92,3,0)</f>
        <v>#N/A</v>
      </c>
      <c r="E66" s="10">
        <f t="shared" ref="E66:E67" si="19">0</f>
        <v>0</v>
      </c>
      <c r="F66" s="11" t="e">
        <f t="shared" ref="F66:F67" si="20">D66</f>
        <v>#N/A</v>
      </c>
      <c r="G66" s="10">
        <f t="shared" ref="G66:G67" si="21">0</f>
        <v>0</v>
      </c>
      <c r="H66" s="12" t="e">
        <f t="shared" si="18"/>
        <v>#N/A</v>
      </c>
      <c r="I66" s="1"/>
    </row>
    <row r="67" spans="1:9" ht="15.75" customHeight="1" thickTop="1" thickBot="1" x14ac:dyDescent="0.3">
      <c r="A67" s="1"/>
      <c r="B67" s="8" t="s">
        <v>104</v>
      </c>
      <c r="C67" s="8" t="s">
        <v>7</v>
      </c>
      <c r="D67" s="9" t="e">
        <f>VLOOKUP(B67,'Nutrition Plan'!$D$82:$F$92,3,0)</f>
        <v>#N/A</v>
      </c>
      <c r="E67" s="10">
        <f t="shared" si="19"/>
        <v>0</v>
      </c>
      <c r="F67" s="11" t="e">
        <f t="shared" si="20"/>
        <v>#N/A</v>
      </c>
      <c r="G67" s="10">
        <f t="shared" si="21"/>
        <v>0</v>
      </c>
      <c r="H67" s="12" t="e">
        <f t="shared" si="18"/>
        <v>#N/A</v>
      </c>
      <c r="I67" s="1"/>
    </row>
    <row r="68" spans="1:9" ht="15.75" customHeight="1" thickTop="1" thickBot="1" x14ac:dyDescent="0.3">
      <c r="A68" s="1"/>
      <c r="B68" s="8" t="s">
        <v>105</v>
      </c>
      <c r="C68" s="8" t="s">
        <v>7</v>
      </c>
      <c r="D68" s="9" t="e">
        <f>VLOOKUP(B68,'Nutrition Plan'!$D$82:$F$92,3,0)</f>
        <v>#N/A</v>
      </c>
      <c r="E68" s="10" t="e">
        <f>D68/(100/16.54)</f>
        <v>#N/A</v>
      </c>
      <c r="F68" s="11" t="e">
        <f>D68/(100/30.74)</f>
        <v>#N/A</v>
      </c>
      <c r="G68" s="10" t="e">
        <f>D68/(100/42.12)</f>
        <v>#N/A</v>
      </c>
      <c r="H68" s="12" t="e">
        <f t="shared" si="18"/>
        <v>#N/A</v>
      </c>
      <c r="I68" s="1"/>
    </row>
    <row r="69" spans="1:9" ht="15.75" customHeight="1" thickTop="1" thickBot="1" x14ac:dyDescent="0.3">
      <c r="A69" s="1"/>
      <c r="B69" s="8" t="s">
        <v>106</v>
      </c>
      <c r="C69" s="8" t="s">
        <v>7</v>
      </c>
      <c r="D69" s="9" t="e">
        <f>VLOOKUP(B69,'Nutrition Plan'!$D$82:$F$92,3,0)</f>
        <v>#N/A</v>
      </c>
      <c r="E69" s="10" t="e">
        <f>D69/(100/18.29)</f>
        <v>#N/A</v>
      </c>
      <c r="F69" s="11" t="e">
        <f>D69/(100/42.16)</f>
        <v>#N/A</v>
      </c>
      <c r="G69" s="10" t="e">
        <f>D69/(100/28.88)</f>
        <v>#N/A</v>
      </c>
      <c r="H69" s="12" t="e">
        <f t="shared" si="18"/>
        <v>#N/A</v>
      </c>
      <c r="I69" s="1"/>
    </row>
    <row r="70" spans="1:9" ht="15.75" customHeight="1" thickTop="1" thickBot="1" x14ac:dyDescent="0.3">
      <c r="A70" s="1"/>
      <c r="B70" s="8" t="s">
        <v>107</v>
      </c>
      <c r="C70" s="8" t="s">
        <v>7</v>
      </c>
      <c r="D70" s="9" t="e">
        <f>VLOOKUP(B70,'Nutrition Plan'!$D$82:$F$92,3,0)</f>
        <v>#N/A</v>
      </c>
      <c r="E70" s="10" t="e">
        <f>D70/(100/31.56)</f>
        <v>#N/A</v>
      </c>
      <c r="F70" s="11" t="e">
        <f>D70/(100/48.75)</f>
        <v>#N/A</v>
      </c>
      <c r="G70" s="10" t="e">
        <f>D70/(100/8.67)</f>
        <v>#N/A</v>
      </c>
      <c r="H70" s="12" t="e">
        <f t="shared" si="18"/>
        <v>#N/A</v>
      </c>
      <c r="I70" s="1"/>
    </row>
    <row r="71" spans="1:9" ht="15.75" customHeight="1" thickTop="1" thickBot="1" x14ac:dyDescent="0.3">
      <c r="A71" s="1"/>
      <c r="B71" s="8" t="s">
        <v>108</v>
      </c>
      <c r="C71" s="8" t="s">
        <v>7</v>
      </c>
      <c r="D71" s="9" t="e">
        <f>VLOOKUP(B71,'Nutrition Plan'!$D$82:$F$92,3,0)</f>
        <v>#N/A</v>
      </c>
      <c r="E71" s="10" t="e">
        <f>D71/(28/6)</f>
        <v>#N/A</v>
      </c>
      <c r="F71" s="11" t="e">
        <f>D71/(28/14)</f>
        <v>#N/A</v>
      </c>
      <c r="G71" s="10" t="e">
        <f>D71/(28/6)</f>
        <v>#N/A</v>
      </c>
      <c r="H71" s="12" t="e">
        <f t="shared" si="18"/>
        <v>#N/A</v>
      </c>
      <c r="I71" s="1"/>
    </row>
    <row r="72" spans="1:9" ht="15.75" customHeight="1" thickTop="1" x14ac:dyDescent="0.3">
      <c r="A72" s="1"/>
      <c r="B72" s="173" t="s">
        <v>33</v>
      </c>
      <c r="C72" s="174"/>
      <c r="D72" s="174"/>
      <c r="E72" s="174"/>
      <c r="F72" s="174"/>
      <c r="G72" s="174"/>
      <c r="H72" s="134"/>
      <c r="I72" s="1"/>
    </row>
    <row r="73" spans="1:9" ht="15.75" customHeight="1" thickBot="1" x14ac:dyDescent="0.3">
      <c r="A73" s="1"/>
      <c r="B73" s="8" t="s">
        <v>180</v>
      </c>
      <c r="C73" s="8" t="s">
        <v>7</v>
      </c>
      <c r="D73" s="9" t="e">
        <f>VLOOKUP(B73,'Nutrition Plan'!$D$82:$F$92,3,0)</f>
        <v>#N/A</v>
      </c>
      <c r="E73" s="10" t="e">
        <f>D73/(28/6)</f>
        <v>#N/A</v>
      </c>
      <c r="F73" s="11" t="e">
        <f>D73/(28/0.2)</f>
        <v>#N/A</v>
      </c>
      <c r="G73" s="10">
        <v>0</v>
      </c>
      <c r="H73" s="12" t="e">
        <f t="shared" ref="H73:H108" si="22">(E73*4)+(F73*9)+(G73*4)</f>
        <v>#N/A</v>
      </c>
      <c r="I73" s="1"/>
    </row>
    <row r="74" spans="1:9" ht="15.75" customHeight="1" thickTop="1" thickBot="1" x14ac:dyDescent="0.3">
      <c r="A74" s="1"/>
      <c r="B74" s="8" t="s">
        <v>181</v>
      </c>
      <c r="C74" s="8" t="s">
        <v>7</v>
      </c>
      <c r="D74" s="9" t="e">
        <f>VLOOKUP(B74,'Nutrition Plan'!$D$82:$F$92,3,0)</f>
        <v>#N/A</v>
      </c>
      <c r="E74" s="10" t="e">
        <f>D74/(28/5)</f>
        <v>#N/A</v>
      </c>
      <c r="F74" s="11" t="e">
        <f>D74/(28/1)</f>
        <v>#N/A</v>
      </c>
      <c r="G74" s="10">
        <v>0</v>
      </c>
      <c r="H74" s="12" t="e">
        <f t="shared" si="22"/>
        <v>#N/A</v>
      </c>
      <c r="I74" s="1"/>
    </row>
    <row r="75" spans="1:9" ht="15.75" customHeight="1" thickTop="1" thickBot="1" x14ac:dyDescent="0.3">
      <c r="A75" s="1"/>
      <c r="B75" s="8" t="s">
        <v>182</v>
      </c>
      <c r="C75" s="8" t="s">
        <v>7</v>
      </c>
      <c r="D75" s="9" t="e">
        <f>VLOOKUP(B75,'Nutrition Plan'!$D$82:$F$92,3,0)</f>
        <v>#N/A</v>
      </c>
      <c r="E75" s="10" t="e">
        <f>D75/(28/6.5)</f>
        <v>#N/A</v>
      </c>
      <c r="F75" s="11" t="e">
        <f>D75/(28/0.2)</f>
        <v>#N/A</v>
      </c>
      <c r="G75" s="10">
        <v>0</v>
      </c>
      <c r="H75" s="12" t="e">
        <f t="shared" si="22"/>
        <v>#N/A</v>
      </c>
      <c r="I75" s="1"/>
    </row>
    <row r="76" spans="1:9" ht="15.75" customHeight="1" thickTop="1" thickBot="1" x14ac:dyDescent="0.3">
      <c r="A76" s="1"/>
      <c r="B76" s="8" t="s">
        <v>183</v>
      </c>
      <c r="C76" s="8" t="s">
        <v>7</v>
      </c>
      <c r="D76" s="9" t="e">
        <f>VLOOKUP(B76,'Nutrition Plan'!$D$82:$F$92,3,0)</f>
        <v>#N/A</v>
      </c>
      <c r="E76" s="10" t="e">
        <f>D76/(28/5)</f>
        <v>#N/A</v>
      </c>
      <c r="F76" s="11" t="e">
        <f>D76/(28/1)</f>
        <v>#N/A</v>
      </c>
      <c r="G76" s="10">
        <v>0</v>
      </c>
      <c r="H76" s="12" t="e">
        <f t="shared" si="22"/>
        <v>#N/A</v>
      </c>
      <c r="I76" s="1"/>
    </row>
    <row r="77" spans="1:9" ht="15.75" customHeight="1" thickTop="1" thickBot="1" x14ac:dyDescent="0.3">
      <c r="A77" s="1"/>
      <c r="B77" s="8" t="s">
        <v>184</v>
      </c>
      <c r="C77" s="8" t="s">
        <v>7</v>
      </c>
      <c r="D77" s="9" t="e">
        <f>VLOOKUP(B77,'Nutrition Plan'!$D$82:$F$92,3,0)</f>
        <v>#N/A</v>
      </c>
      <c r="E77" s="10" t="e">
        <f>D77/(28/6)</f>
        <v>#N/A</v>
      </c>
      <c r="F77" s="11" t="e">
        <f>D77/(28/0.2)</f>
        <v>#N/A</v>
      </c>
      <c r="G77" s="10">
        <v>0</v>
      </c>
      <c r="H77" s="12" t="e">
        <f t="shared" si="22"/>
        <v>#N/A</v>
      </c>
      <c r="I77" s="1"/>
    </row>
    <row r="78" spans="1:9" ht="15.75" customHeight="1" thickTop="1" thickBot="1" x14ac:dyDescent="0.3">
      <c r="A78" s="1"/>
      <c r="B78" s="8" t="s">
        <v>185</v>
      </c>
      <c r="C78" s="8" t="s">
        <v>7</v>
      </c>
      <c r="D78" s="9" t="e">
        <f>VLOOKUP(B78,'Nutrition Plan'!$D$82:$F$92,3,0)</f>
        <v>#N/A</v>
      </c>
      <c r="E78" s="10" t="e">
        <f>D78/(28/6.4)</f>
        <v>#N/A</v>
      </c>
      <c r="F78" s="11" t="e">
        <f>D78/(28/0.5)</f>
        <v>#N/A</v>
      </c>
      <c r="G78" s="10">
        <v>0</v>
      </c>
      <c r="H78" s="12" t="e">
        <f t="shared" si="22"/>
        <v>#N/A</v>
      </c>
      <c r="I78" s="1"/>
    </row>
    <row r="79" spans="1:9" ht="15.75" customHeight="1" thickTop="1" thickBot="1" x14ac:dyDescent="0.3">
      <c r="A79" s="1"/>
      <c r="B79" s="8" t="s">
        <v>186</v>
      </c>
      <c r="C79" s="8" t="s">
        <v>7</v>
      </c>
      <c r="D79" s="9" t="e">
        <f>VLOOKUP(B79,'Nutrition Plan'!$D$82:$F$92,3,0)</f>
        <v>#N/A</v>
      </c>
      <c r="E79" s="10" t="e">
        <f t="shared" ref="E79:E80" si="23">D79/(28/7)</f>
        <v>#N/A</v>
      </c>
      <c r="F79" s="11" t="e">
        <f>D79/(28/1)</f>
        <v>#N/A</v>
      </c>
      <c r="G79" s="10">
        <v>0</v>
      </c>
      <c r="H79" s="12" t="e">
        <f t="shared" si="22"/>
        <v>#N/A</v>
      </c>
      <c r="I79" s="1"/>
    </row>
    <row r="80" spans="1:9" ht="15.75" customHeight="1" thickTop="1" thickBot="1" x14ac:dyDescent="0.3">
      <c r="A80" s="1"/>
      <c r="B80" s="8" t="s">
        <v>187</v>
      </c>
      <c r="C80" s="8" t="s">
        <v>7</v>
      </c>
      <c r="D80" s="9" t="e">
        <f>VLOOKUP(B80,'Nutrition Plan'!$D$82:$F$92,3,0)</f>
        <v>#N/A</v>
      </c>
      <c r="E80" s="10" t="e">
        <f t="shared" si="23"/>
        <v>#N/A</v>
      </c>
      <c r="F80" s="11" t="e">
        <f>D80/(28/0.5)</f>
        <v>#N/A</v>
      </c>
      <c r="G80" s="10">
        <v>0</v>
      </c>
      <c r="H80" s="12" t="e">
        <f t="shared" si="22"/>
        <v>#N/A</v>
      </c>
      <c r="I80" s="1"/>
    </row>
    <row r="81" spans="1:9" ht="15.75" customHeight="1" thickTop="1" thickBot="1" x14ac:dyDescent="0.3">
      <c r="A81" s="1"/>
      <c r="B81" s="8" t="s">
        <v>188</v>
      </c>
      <c r="C81" s="8" t="s">
        <v>7</v>
      </c>
      <c r="D81" s="9" t="e">
        <f>VLOOKUP(B81,'Nutrition Plan'!$D$82:$F$92,3,0)</f>
        <v>#N/A</v>
      </c>
      <c r="E81" s="10" t="e">
        <f>D81/(28/6)</f>
        <v>#N/A</v>
      </c>
      <c r="F81" s="11" t="e">
        <f>D81/(28/0.25)</f>
        <v>#N/A</v>
      </c>
      <c r="G81" s="10">
        <v>0</v>
      </c>
      <c r="H81" s="12" t="e">
        <f t="shared" si="22"/>
        <v>#N/A</v>
      </c>
      <c r="I81" s="1"/>
    </row>
    <row r="82" spans="1:9" ht="15.75" customHeight="1" thickTop="1" thickBot="1" x14ac:dyDescent="0.3">
      <c r="A82" s="1"/>
      <c r="B82" s="8" t="s">
        <v>189</v>
      </c>
      <c r="C82" s="8" t="s">
        <v>7</v>
      </c>
      <c r="D82" s="9" t="e">
        <f>VLOOKUP(B82,'Nutrition Plan'!$D$82:$F$92,3,0)</f>
        <v>#N/A</v>
      </c>
      <c r="E82" s="10" t="e">
        <f>D82/(28/7)</f>
        <v>#N/A</v>
      </c>
      <c r="F82" s="11" t="e">
        <f>D82/(28/0.75)</f>
        <v>#N/A</v>
      </c>
      <c r="G82" s="10">
        <v>0</v>
      </c>
      <c r="H82" s="12" t="e">
        <f t="shared" si="22"/>
        <v>#N/A</v>
      </c>
      <c r="I82" s="1"/>
    </row>
    <row r="83" spans="1:9" ht="15.75" customHeight="1" thickTop="1" thickBot="1" x14ac:dyDescent="0.3">
      <c r="A83" s="1"/>
      <c r="B83" s="8" t="s">
        <v>190</v>
      </c>
      <c r="C83" s="8" t="s">
        <v>7</v>
      </c>
      <c r="D83" s="9" t="e">
        <f>VLOOKUP(B83,'Nutrition Plan'!$D$82:$F$92,3,0)</f>
        <v>#N/A</v>
      </c>
      <c r="E83" s="10" t="e">
        <f>D83/(113/23.98)</f>
        <v>#N/A</v>
      </c>
      <c r="F83" s="11" t="e">
        <f>D83/(113/0.28)</f>
        <v>#N/A</v>
      </c>
      <c r="G83" s="10" t="e">
        <f>D83/(113/0.2)</f>
        <v>#N/A</v>
      </c>
      <c r="H83" s="12" t="e">
        <f t="shared" si="22"/>
        <v>#N/A</v>
      </c>
      <c r="I83" s="1"/>
    </row>
    <row r="84" spans="1:9" ht="15.75" customHeight="1" thickTop="1" thickBot="1" x14ac:dyDescent="0.3">
      <c r="A84" s="1"/>
      <c r="B84" s="8" t="s">
        <v>191</v>
      </c>
      <c r="C84" s="8" t="s">
        <v>7</v>
      </c>
      <c r="D84" s="9" t="e">
        <f>VLOOKUP(B84,'Nutrition Plan'!$D$82:$F$92,3,0)</f>
        <v>#N/A</v>
      </c>
      <c r="E84" s="10" t="e">
        <f>D84/(113/15)</f>
        <v>#N/A</v>
      </c>
      <c r="F84" s="11" t="e">
        <f>D84/(113/5)</f>
        <v>#N/A</v>
      </c>
      <c r="G84" s="10">
        <f t="shared" ref="G84:G85" si="24">0</f>
        <v>0</v>
      </c>
      <c r="H84" s="12" t="e">
        <f t="shared" si="22"/>
        <v>#N/A</v>
      </c>
      <c r="I84" s="1"/>
    </row>
    <row r="85" spans="1:9" ht="15.75" customHeight="1" thickTop="1" thickBot="1" x14ac:dyDescent="0.3">
      <c r="A85" s="1"/>
      <c r="B85" s="8" t="s">
        <v>192</v>
      </c>
      <c r="C85" s="8" t="s">
        <v>7</v>
      </c>
      <c r="D85" s="9" t="e">
        <f>VLOOKUP(B85,'Nutrition Plan'!$D$82:$F$92,3,0)</f>
        <v>#N/A</v>
      </c>
      <c r="E85" s="10" t="e">
        <f>D85/(100/26.15)</f>
        <v>#N/A</v>
      </c>
      <c r="F85" s="11" t="e">
        <f>D85/(100/2.65)</f>
        <v>#N/A</v>
      </c>
      <c r="G85" s="10">
        <f t="shared" si="24"/>
        <v>0</v>
      </c>
      <c r="H85" s="12" t="e">
        <f t="shared" si="22"/>
        <v>#N/A</v>
      </c>
      <c r="I85" s="1"/>
    </row>
    <row r="86" spans="1:9" ht="15.75" customHeight="1" thickTop="1" thickBot="1" x14ac:dyDescent="0.3">
      <c r="A86" s="1"/>
      <c r="B86" s="8" t="s">
        <v>109</v>
      </c>
      <c r="C86" s="8" t="s">
        <v>7</v>
      </c>
      <c r="D86" s="9" t="e">
        <f>VLOOKUP(B86,'Nutrition Plan'!$D$82:$F$92,3,0)</f>
        <v>#N/A</v>
      </c>
      <c r="E86" s="10" t="e">
        <f>D86/(56/13)</f>
        <v>#N/A</v>
      </c>
      <c r="F86" s="11">
        <f t="shared" ref="F86:G90" si="25">0</f>
        <v>0</v>
      </c>
      <c r="G86" s="10">
        <f t="shared" si="25"/>
        <v>0</v>
      </c>
      <c r="H86" s="12" t="e">
        <f t="shared" si="22"/>
        <v>#N/A</v>
      </c>
      <c r="I86" s="1"/>
    </row>
    <row r="87" spans="1:9" ht="15.75" customHeight="1" thickTop="1" thickBot="1" x14ac:dyDescent="0.3">
      <c r="A87" s="1"/>
      <c r="B87" s="8" t="s">
        <v>110</v>
      </c>
      <c r="C87" s="8" t="s">
        <v>7</v>
      </c>
      <c r="D87" s="9" t="e">
        <f>VLOOKUP(B87,'Nutrition Plan'!$D$82:$F$92,3,0)</f>
        <v>#N/A</v>
      </c>
      <c r="E87" s="10" t="e">
        <f>D87/(56/11)</f>
        <v>#N/A</v>
      </c>
      <c r="F87" s="11">
        <f t="shared" si="25"/>
        <v>0</v>
      </c>
      <c r="G87" s="10">
        <f t="shared" si="25"/>
        <v>0</v>
      </c>
      <c r="H87" s="12" t="e">
        <f t="shared" si="22"/>
        <v>#N/A</v>
      </c>
      <c r="I87" s="1"/>
    </row>
    <row r="88" spans="1:9" ht="15.75" customHeight="1" thickTop="1" thickBot="1" x14ac:dyDescent="0.3">
      <c r="A88" s="1"/>
      <c r="B88" s="8" t="s">
        <v>111</v>
      </c>
      <c r="C88" s="8" t="s">
        <v>7</v>
      </c>
      <c r="D88" s="9" t="e">
        <f>VLOOKUP(B88,'Nutrition Plan'!$D$82:$F$92,3,0)</f>
        <v>#N/A</v>
      </c>
      <c r="E88" s="10" t="e">
        <f>D88/(56/13)</f>
        <v>#N/A</v>
      </c>
      <c r="F88" s="11">
        <f t="shared" si="25"/>
        <v>0</v>
      </c>
      <c r="G88" s="10">
        <f t="shared" si="25"/>
        <v>0</v>
      </c>
      <c r="H88" s="12" t="e">
        <f t="shared" si="22"/>
        <v>#N/A</v>
      </c>
      <c r="I88" s="1"/>
    </row>
    <row r="89" spans="1:9" ht="15.75" customHeight="1" thickTop="1" thickBot="1" x14ac:dyDescent="0.3">
      <c r="A89" s="1"/>
      <c r="B89" s="8" t="s">
        <v>193</v>
      </c>
      <c r="C89" s="8" t="s">
        <v>7</v>
      </c>
      <c r="D89" s="9" t="e">
        <f>VLOOKUP(B89,'Nutrition Plan'!$D$82:$F$92,3,0)</f>
        <v>#N/A</v>
      </c>
      <c r="E89" s="10" t="e">
        <f>D89/(85/25.5)</f>
        <v>#N/A</v>
      </c>
      <c r="F89" s="11" t="e">
        <f>D89/(85/1)</f>
        <v>#N/A</v>
      </c>
      <c r="G89" s="10">
        <f t="shared" si="25"/>
        <v>0</v>
      </c>
      <c r="H89" s="12" t="e">
        <f t="shared" si="22"/>
        <v>#N/A</v>
      </c>
      <c r="I89" s="1"/>
    </row>
    <row r="90" spans="1:9" ht="15.75" customHeight="1" thickTop="1" thickBot="1" x14ac:dyDescent="0.3">
      <c r="A90" s="1"/>
      <c r="B90" s="8" t="s">
        <v>194</v>
      </c>
      <c r="C90" s="8" t="s">
        <v>7</v>
      </c>
      <c r="D90" s="9" t="e">
        <f>VLOOKUP(B90,'Nutrition Plan'!$D$82:$F$92,3,0)</f>
        <v>#N/A</v>
      </c>
      <c r="E90" s="10" t="e">
        <f>D90/(100/25.45)</f>
        <v>#N/A</v>
      </c>
      <c r="F90" s="11" t="e">
        <f>D90/(100/8.62)</f>
        <v>#N/A</v>
      </c>
      <c r="G90" s="10">
        <f t="shared" si="25"/>
        <v>0</v>
      </c>
      <c r="H90" s="12" t="e">
        <f t="shared" si="22"/>
        <v>#N/A</v>
      </c>
      <c r="I90" s="1"/>
    </row>
    <row r="91" spans="1:9" ht="15.75" customHeight="1" thickTop="1" thickBot="1" x14ac:dyDescent="0.3">
      <c r="A91" s="1"/>
      <c r="B91" s="8" t="s">
        <v>195</v>
      </c>
      <c r="C91" s="8" t="s">
        <v>7</v>
      </c>
      <c r="D91" s="9" t="e">
        <f>VLOOKUP(B91,'Nutrition Plan'!$D$82:$F$92,3,0)</f>
        <v>#N/A</v>
      </c>
      <c r="E91" s="10" t="e">
        <f>D91/(28/8)</f>
        <v>#N/A</v>
      </c>
      <c r="F91" s="11" t="e">
        <f>D91/(28/1)</f>
        <v>#N/A</v>
      </c>
      <c r="G91" s="10">
        <v>0</v>
      </c>
      <c r="H91" s="12" t="e">
        <f t="shared" si="22"/>
        <v>#N/A</v>
      </c>
      <c r="I91" s="1"/>
    </row>
    <row r="92" spans="1:9" ht="15.75" customHeight="1" thickTop="1" thickBot="1" x14ac:dyDescent="0.3">
      <c r="A92" s="1"/>
      <c r="B92" s="8" t="s">
        <v>196</v>
      </c>
      <c r="C92" s="8" t="s">
        <v>7</v>
      </c>
      <c r="D92" s="9" t="e">
        <f>VLOOKUP(B92,'Nutrition Plan'!$D$82:$F$92,3,0)</f>
        <v>#N/A</v>
      </c>
      <c r="E92" s="10" t="e">
        <f>D92/(100/26.14)</f>
        <v>#N/A</v>
      </c>
      <c r="F92" s="11" t="e">
        <f>D92/(100/11.78)</f>
        <v>#N/A</v>
      </c>
      <c r="G92" s="10">
        <v>0</v>
      </c>
      <c r="H92" s="12" t="e">
        <f t="shared" si="22"/>
        <v>#N/A</v>
      </c>
      <c r="I92" s="1"/>
    </row>
    <row r="93" spans="1:9" ht="15.75" customHeight="1" thickTop="1" thickBot="1" x14ac:dyDescent="0.3">
      <c r="A93" s="1"/>
      <c r="B93" s="8" t="s">
        <v>197</v>
      </c>
      <c r="C93" s="8" t="s">
        <v>7</v>
      </c>
      <c r="D93" s="9" t="e">
        <f>VLOOKUP(B93,'Nutrition Plan'!$D$82:$F$92,3,0)</f>
        <v>#N/A</v>
      </c>
      <c r="E93" s="10" t="e">
        <f>D93/(100/28.88)</f>
        <v>#N/A</v>
      </c>
      <c r="F93" s="11" t="e">
        <f>D93/(100/9.51)</f>
        <v>#N/A</v>
      </c>
      <c r="G93" s="10">
        <v>0</v>
      </c>
      <c r="H93" s="12" t="e">
        <f t="shared" si="22"/>
        <v>#N/A</v>
      </c>
      <c r="I93" s="1"/>
    </row>
    <row r="94" spans="1:9" ht="15.75" customHeight="1" thickTop="1" thickBot="1" x14ac:dyDescent="0.3">
      <c r="A94" s="1"/>
      <c r="B94" s="8" t="s">
        <v>198</v>
      </c>
      <c r="C94" s="8" t="s">
        <v>7</v>
      </c>
      <c r="D94" s="9" t="e">
        <f>VLOOKUP(B94,'Nutrition Plan'!$D$82:$F$92,3,0)</f>
        <v>#N/A</v>
      </c>
      <c r="E94" s="10" t="e">
        <f>D94/(100/29.32)</f>
        <v>#N/A</v>
      </c>
      <c r="F94" s="11" t="e">
        <f>D94/(100/6.52)</f>
        <v>#N/A</v>
      </c>
      <c r="G94" s="10">
        <v>0</v>
      </c>
      <c r="H94" s="12" t="e">
        <f t="shared" si="22"/>
        <v>#N/A</v>
      </c>
      <c r="I94" s="1"/>
    </row>
    <row r="95" spans="1:9" ht="15.75" customHeight="1" thickTop="1" thickBot="1" x14ac:dyDescent="0.3">
      <c r="A95" s="1"/>
      <c r="B95" s="8" t="s">
        <v>199</v>
      </c>
      <c r="C95" s="8" t="s">
        <v>7</v>
      </c>
      <c r="D95" s="9" t="e">
        <f>VLOOKUP(B95,'Nutrition Plan'!$D$82:$F$92,3,0)</f>
        <v>#N/A</v>
      </c>
      <c r="E95" s="10" t="e">
        <f>D95/(84/23)</f>
        <v>#N/A</v>
      </c>
      <c r="F95" s="11" t="e">
        <f>D95/(84/1.5)</f>
        <v>#N/A</v>
      </c>
      <c r="G95" s="10">
        <f t="shared" ref="G95:G97" si="26">0</f>
        <v>0</v>
      </c>
      <c r="H95" s="12" t="e">
        <f t="shared" si="22"/>
        <v>#N/A</v>
      </c>
      <c r="I95" s="1"/>
    </row>
    <row r="96" spans="1:9" ht="15.75" customHeight="1" thickTop="1" thickBot="1" x14ac:dyDescent="0.3">
      <c r="A96" s="1"/>
      <c r="B96" s="8" t="s">
        <v>200</v>
      </c>
      <c r="C96" s="8" t="s">
        <v>7</v>
      </c>
      <c r="D96" s="9" t="e">
        <f>VLOOKUP(B96,'Nutrition Plan'!$D$82:$F$92,3,0)</f>
        <v>#N/A</v>
      </c>
      <c r="E96" s="10" t="e">
        <f>D96/(94/26)</f>
        <v>#N/A</v>
      </c>
      <c r="F96" s="11" t="e">
        <f>D96/(94/1)</f>
        <v>#N/A</v>
      </c>
      <c r="G96" s="10">
        <f t="shared" si="26"/>
        <v>0</v>
      </c>
      <c r="H96" s="12" t="e">
        <f t="shared" si="22"/>
        <v>#N/A</v>
      </c>
      <c r="I96" s="1"/>
    </row>
    <row r="97" spans="1:9" ht="15.75" customHeight="1" thickTop="1" thickBot="1" x14ac:dyDescent="0.3">
      <c r="A97" s="1"/>
      <c r="B97" s="8" t="s">
        <v>201</v>
      </c>
      <c r="C97" s="8" t="s">
        <v>7</v>
      </c>
      <c r="D97" s="9" t="e">
        <f>VLOOKUP(B97,'Nutrition Plan'!$D$82:$F$92,3,0)</f>
        <v>#N/A</v>
      </c>
      <c r="E97" s="10" t="e">
        <f>D97/(100/31)</f>
        <v>#N/A</v>
      </c>
      <c r="F97" s="11" t="e">
        <f>D97/(100/3.8)</f>
        <v>#N/A</v>
      </c>
      <c r="G97" s="10">
        <f t="shared" si="26"/>
        <v>0</v>
      </c>
      <c r="H97" s="12" t="e">
        <f t="shared" si="22"/>
        <v>#N/A</v>
      </c>
      <c r="I97" s="1"/>
    </row>
    <row r="98" spans="1:9" ht="15.75" customHeight="1" thickTop="1" thickBot="1" x14ac:dyDescent="0.3">
      <c r="A98" s="1"/>
      <c r="B98" s="8" t="s">
        <v>202</v>
      </c>
      <c r="C98" s="8" t="s">
        <v>7</v>
      </c>
      <c r="D98" s="9" t="e">
        <f>VLOOKUP(B98,'Nutrition Plan'!$D$82:$F$92,3,0)</f>
        <v>#N/A</v>
      </c>
      <c r="E98" s="10" t="e">
        <f>D98/(28/6.57)</f>
        <v>#N/A</v>
      </c>
      <c r="F98" s="11" t="e">
        <f>D98/(28/3.14)</f>
        <v>#N/A</v>
      </c>
      <c r="G98" s="10">
        <v>0</v>
      </c>
      <c r="H98" s="12" t="e">
        <f t="shared" si="22"/>
        <v>#N/A</v>
      </c>
      <c r="I98" s="1"/>
    </row>
    <row r="99" spans="1:9" ht="15.75" customHeight="1" thickTop="1" thickBot="1" x14ac:dyDescent="0.3">
      <c r="A99" s="1"/>
      <c r="B99" s="8" t="s">
        <v>112</v>
      </c>
      <c r="C99" s="8" t="s">
        <v>22</v>
      </c>
      <c r="D99" s="9" t="e">
        <f>VLOOKUP(B99,'Nutrition Plan'!$D$82:$F$92,3,0)</f>
        <v>#N/A</v>
      </c>
      <c r="E99" s="10" t="e">
        <f>D99/(28/6)</f>
        <v>#N/A</v>
      </c>
      <c r="F99" s="11" t="e">
        <f>D99/(28/1.5)</f>
        <v>#N/A</v>
      </c>
      <c r="G99" s="10" t="e">
        <f>D99/(28/1)</f>
        <v>#N/A</v>
      </c>
      <c r="H99" s="12" t="e">
        <f t="shared" si="22"/>
        <v>#N/A</v>
      </c>
      <c r="I99" s="1"/>
    </row>
    <row r="100" spans="1:9" ht="15.75" customHeight="1" thickTop="1" thickBot="1" x14ac:dyDescent="0.3">
      <c r="A100" s="1"/>
      <c r="B100" s="8" t="s">
        <v>113</v>
      </c>
      <c r="C100" s="8" t="s">
        <v>114</v>
      </c>
      <c r="D100" s="9" t="e">
        <f>VLOOKUP(B100,'Nutrition Plan'!$D$82:$F$92,3,0)</f>
        <v>#N/A</v>
      </c>
      <c r="E100" s="10" t="e">
        <f>D100/(1/21)</f>
        <v>#N/A</v>
      </c>
      <c r="F100" s="11" t="e">
        <f t="shared" ref="F100:F101" si="27">D100/(1/9)</f>
        <v>#N/A</v>
      </c>
      <c r="G100" s="10">
        <f t="shared" ref="G100:G101" si="28">0</f>
        <v>0</v>
      </c>
      <c r="H100" s="12" t="e">
        <f t="shared" si="22"/>
        <v>#N/A</v>
      </c>
      <c r="I100" s="1"/>
    </row>
    <row r="101" spans="1:9" ht="15.75" customHeight="1" thickTop="1" thickBot="1" x14ac:dyDescent="0.3">
      <c r="A101" s="1"/>
      <c r="B101" s="8" t="s">
        <v>115</v>
      </c>
      <c r="C101" s="8" t="s">
        <v>114</v>
      </c>
      <c r="D101" s="9" t="e">
        <f>VLOOKUP(B101,'Nutrition Plan'!$D$82:$F$92,3,0)</f>
        <v>#N/A</v>
      </c>
      <c r="E101" s="10" t="e">
        <f>D101/(1/20)</f>
        <v>#N/A</v>
      </c>
      <c r="F101" s="11" t="e">
        <f t="shared" si="27"/>
        <v>#N/A</v>
      </c>
      <c r="G101" s="10">
        <f t="shared" si="28"/>
        <v>0</v>
      </c>
      <c r="H101" s="12" t="e">
        <f t="shared" si="22"/>
        <v>#N/A</v>
      </c>
      <c r="I101" s="1"/>
    </row>
    <row r="102" spans="1:9" ht="15.75" customHeight="1" thickTop="1" thickBot="1" x14ac:dyDescent="0.3">
      <c r="A102" s="1"/>
      <c r="B102" s="8" t="s">
        <v>116</v>
      </c>
      <c r="C102" s="8" t="s">
        <v>7</v>
      </c>
      <c r="D102" s="9" t="e">
        <f>VLOOKUP(B102,'Nutrition Plan'!$D$82:$F$92,3,0)</f>
        <v>#N/A</v>
      </c>
      <c r="E102" s="10" t="e">
        <f>D102/(28/6)</f>
        <v>#N/A</v>
      </c>
      <c r="F102" s="11" t="e">
        <f>D102/(28/1.5)</f>
        <v>#N/A</v>
      </c>
      <c r="G102" s="10">
        <v>0</v>
      </c>
      <c r="H102" s="12" t="e">
        <f t="shared" si="22"/>
        <v>#N/A</v>
      </c>
      <c r="I102" s="1"/>
    </row>
    <row r="103" spans="1:9" ht="15.75" customHeight="1" thickTop="1" thickBot="1" x14ac:dyDescent="0.3">
      <c r="A103" s="1"/>
      <c r="B103" s="8" t="s">
        <v>117</v>
      </c>
      <c r="C103" s="8" t="s">
        <v>7</v>
      </c>
      <c r="D103" s="9" t="e">
        <f>VLOOKUP(B103,'Nutrition Plan'!$D$82:$F$92,3,0)</f>
        <v>#N/A</v>
      </c>
      <c r="E103" s="10" t="e">
        <f>D103/(28/5.28)</f>
        <v>#N/A</v>
      </c>
      <c r="F103" s="11" t="e">
        <f>D103/(28/2.13)</f>
        <v>#N/A</v>
      </c>
      <c r="G103" s="10">
        <v>0</v>
      </c>
      <c r="H103" s="12" t="e">
        <f t="shared" si="22"/>
        <v>#N/A</v>
      </c>
      <c r="I103" s="1"/>
    </row>
    <row r="104" spans="1:9" ht="15.75" customHeight="1" thickTop="1" thickBot="1" x14ac:dyDescent="0.3">
      <c r="A104" s="1"/>
      <c r="B104" s="8" t="s">
        <v>203</v>
      </c>
      <c r="C104" s="8" t="s">
        <v>7</v>
      </c>
      <c r="D104" s="9" t="e">
        <f>VLOOKUP(B104,'Nutrition Plan'!$D$82:$F$92,3,0)</f>
        <v>#N/A</v>
      </c>
      <c r="E104" s="10" t="e">
        <f t="shared" ref="E104:E105" si="29">D104/(28/8)</f>
        <v>#N/A</v>
      </c>
      <c r="F104" s="11" t="e">
        <f t="shared" ref="F104:F105" si="30">D104/(28/3)</f>
        <v>#N/A</v>
      </c>
      <c r="G104" s="10">
        <v>0</v>
      </c>
      <c r="H104" s="12" t="e">
        <f t="shared" si="22"/>
        <v>#N/A</v>
      </c>
      <c r="I104" s="1"/>
    </row>
    <row r="105" spans="1:9" ht="15.75" customHeight="1" thickTop="1" thickBot="1" x14ac:dyDescent="0.3">
      <c r="A105" s="1"/>
      <c r="B105" s="8" t="s">
        <v>204</v>
      </c>
      <c r="C105" s="8" t="s">
        <v>7</v>
      </c>
      <c r="D105" s="9" t="e">
        <f>VLOOKUP(B105,'Nutrition Plan'!$D$82:$F$92,3,0)</f>
        <v>#N/A</v>
      </c>
      <c r="E105" s="10" t="e">
        <f t="shared" si="29"/>
        <v>#N/A</v>
      </c>
      <c r="F105" s="11" t="e">
        <f t="shared" si="30"/>
        <v>#N/A</v>
      </c>
      <c r="G105" s="10">
        <v>0</v>
      </c>
      <c r="H105" s="12" t="e">
        <f t="shared" si="22"/>
        <v>#N/A</v>
      </c>
      <c r="I105" s="1"/>
    </row>
    <row r="106" spans="1:9" ht="15.75" customHeight="1" thickTop="1" thickBot="1" x14ac:dyDescent="0.3">
      <c r="A106" s="1"/>
      <c r="B106" s="8" t="s">
        <v>205</v>
      </c>
      <c r="C106" s="8" t="s">
        <v>7</v>
      </c>
      <c r="D106" s="9" t="e">
        <f>VLOOKUP(B106,'Nutrition Plan'!$D$82:$F$92,3,0)</f>
        <v>#N/A</v>
      </c>
      <c r="E106" s="10" t="e">
        <f>D106/(100/22.7)</f>
        <v>#N/A</v>
      </c>
      <c r="F106" s="11" t="e">
        <f>D106/(100/3.8)</f>
        <v>#N/A</v>
      </c>
      <c r="G106" s="10">
        <f t="shared" ref="G106:G108" si="31">0</f>
        <v>0</v>
      </c>
      <c r="H106" s="12" t="e">
        <f t="shared" si="22"/>
        <v>#N/A</v>
      </c>
      <c r="I106" s="1"/>
    </row>
    <row r="107" spans="1:9" ht="15.75" customHeight="1" thickTop="1" thickBot="1" x14ac:dyDescent="0.3">
      <c r="A107" s="1"/>
      <c r="B107" s="8" t="s">
        <v>206</v>
      </c>
      <c r="C107" s="8" t="s">
        <v>7</v>
      </c>
      <c r="D107" s="9" t="e">
        <f>VLOOKUP(B107,'Nutrition Plan'!$D$82:$F$92,3,0)</f>
        <v>#N/A</v>
      </c>
      <c r="E107" s="10" t="e">
        <f>D107/(100/30.24)</f>
        <v>#N/A</v>
      </c>
      <c r="F107" s="11" t="e">
        <f>D107/(100/4.11)</f>
        <v>#N/A</v>
      </c>
      <c r="G107" s="10">
        <f t="shared" si="31"/>
        <v>0</v>
      </c>
      <c r="H107" s="12" t="e">
        <f t="shared" si="22"/>
        <v>#N/A</v>
      </c>
      <c r="I107" s="1"/>
    </row>
    <row r="108" spans="1:9" ht="15.75" customHeight="1" thickTop="1" thickBot="1" x14ac:dyDescent="0.3">
      <c r="A108" s="1"/>
      <c r="B108" s="8" t="s">
        <v>207</v>
      </c>
      <c r="C108" s="8" t="s">
        <v>7</v>
      </c>
      <c r="D108" s="9" t="e">
        <f>VLOOKUP(B108,'Nutrition Plan'!$D$82:$F$92,3,0)</f>
        <v>#N/A</v>
      </c>
      <c r="E108" s="10" t="e">
        <f>D108/(100/30.7)</f>
        <v>#N/A</v>
      </c>
      <c r="F108" s="11" t="e">
        <f>D108/(100/10.27)</f>
        <v>#N/A</v>
      </c>
      <c r="G108" s="10">
        <f t="shared" si="31"/>
        <v>0</v>
      </c>
      <c r="H108" s="12" t="e">
        <f t="shared" si="22"/>
        <v>#N/A</v>
      </c>
      <c r="I108" s="1"/>
    </row>
    <row r="109" spans="1:9" ht="15.75" customHeight="1" thickTop="1" x14ac:dyDescent="0.3">
      <c r="A109" s="1"/>
      <c r="B109" s="173" t="s">
        <v>36</v>
      </c>
      <c r="C109" s="174"/>
      <c r="D109" s="174"/>
      <c r="E109" s="174"/>
      <c r="F109" s="174"/>
      <c r="G109" s="174"/>
      <c r="H109" s="134"/>
      <c r="I109" s="1"/>
    </row>
    <row r="110" spans="1:9" ht="15.75" customHeight="1" thickBot="1" x14ac:dyDescent="0.3">
      <c r="A110" s="1"/>
      <c r="B110" s="8" t="s">
        <v>118</v>
      </c>
      <c r="C110" s="8" t="s">
        <v>7</v>
      </c>
      <c r="D110" s="9" t="e">
        <f>VLOOKUP(B110,'Nutrition Plan'!$D$82:$F$92,3,0)</f>
        <v>#N/A</v>
      </c>
      <c r="E110" s="10" t="e">
        <f>D110/(32.5/25)</f>
        <v>#N/A</v>
      </c>
      <c r="F110" s="11" t="e">
        <f>D110/(32.5/1)</f>
        <v>#N/A</v>
      </c>
      <c r="G110" s="10" t="e">
        <f>D110/(32.5/3)</f>
        <v>#N/A</v>
      </c>
      <c r="H110" s="12" t="e">
        <f t="shared" ref="H110:H131" si="32">(E110*4)+(F110*9)+(G110*4)</f>
        <v>#N/A</v>
      </c>
      <c r="I110" s="1"/>
    </row>
    <row r="111" spans="1:9" ht="15.75" customHeight="1" thickTop="1" thickBot="1" x14ac:dyDescent="0.3">
      <c r="A111" s="1"/>
      <c r="B111" s="8" t="s">
        <v>119</v>
      </c>
      <c r="C111" s="8" t="s">
        <v>7</v>
      </c>
      <c r="D111" s="9" t="e">
        <f>VLOOKUP(B111,'Nutrition Plan'!$D$82:$F$92,3,0)</f>
        <v>#N/A</v>
      </c>
      <c r="E111" s="10" t="e">
        <f>D111/(32/25)</f>
        <v>#N/A</v>
      </c>
      <c r="F111" s="11" t="e">
        <f>D111/(32/1.5)</f>
        <v>#N/A</v>
      </c>
      <c r="G111" s="10" t="e">
        <f>D111/(32/3)</f>
        <v>#N/A</v>
      </c>
      <c r="H111" s="12" t="e">
        <f t="shared" si="32"/>
        <v>#N/A</v>
      </c>
      <c r="I111" s="1"/>
    </row>
    <row r="112" spans="1:9" ht="15.75" customHeight="1" thickTop="1" thickBot="1" x14ac:dyDescent="0.3">
      <c r="A112" s="1"/>
      <c r="B112" s="8" t="s">
        <v>120</v>
      </c>
      <c r="C112" s="8" t="s">
        <v>7</v>
      </c>
      <c r="D112" s="9" t="e">
        <f>VLOOKUP(B112,'Nutrition Plan'!$D$82:$F$92,3,0)</f>
        <v>#N/A</v>
      </c>
      <c r="E112" s="10" t="e">
        <f>D112/(36/25)</f>
        <v>#N/A</v>
      </c>
      <c r="F112" s="11" t="e">
        <f>D112/(36/1.5)</f>
        <v>#N/A</v>
      </c>
      <c r="G112" s="10" t="e">
        <f>D112/(36/3)</f>
        <v>#N/A</v>
      </c>
      <c r="H112" s="12" t="e">
        <f t="shared" si="32"/>
        <v>#N/A</v>
      </c>
      <c r="I112" s="1"/>
    </row>
    <row r="113" spans="1:9" ht="15.75" customHeight="1" thickTop="1" thickBot="1" x14ac:dyDescent="0.3">
      <c r="A113" s="1"/>
      <c r="B113" s="8" t="s">
        <v>121</v>
      </c>
      <c r="C113" s="8" t="s">
        <v>7</v>
      </c>
      <c r="D113" s="9" t="e">
        <f>VLOOKUP(B113,'Nutrition Plan'!$D$82:$F$92,3,0)</f>
        <v>#N/A</v>
      </c>
      <c r="E113" s="10" t="e">
        <f t="shared" ref="E113:E114" si="33">D113/(33/25)</f>
        <v>#N/A</v>
      </c>
      <c r="F113" s="11" t="e">
        <f t="shared" ref="F113:F114" si="34">D113/(33/1.5)</f>
        <v>#N/A</v>
      </c>
      <c r="G113" s="10" t="e">
        <f t="shared" ref="G113:G114" si="35">D113/(33/3)</f>
        <v>#N/A</v>
      </c>
      <c r="H113" s="12" t="e">
        <f t="shared" si="32"/>
        <v>#N/A</v>
      </c>
      <c r="I113" s="1"/>
    </row>
    <row r="114" spans="1:9" ht="15.75" customHeight="1" thickTop="1" thickBot="1" x14ac:dyDescent="0.3">
      <c r="A114" s="1"/>
      <c r="B114" s="8" t="s">
        <v>122</v>
      </c>
      <c r="C114" s="8" t="s">
        <v>7</v>
      </c>
      <c r="D114" s="9" t="e">
        <f>VLOOKUP(B114,'Nutrition Plan'!$D$82:$F$92,3,0)</f>
        <v>#N/A</v>
      </c>
      <c r="E114" s="10" t="e">
        <f t="shared" si="33"/>
        <v>#N/A</v>
      </c>
      <c r="F114" s="11" t="e">
        <f t="shared" si="34"/>
        <v>#N/A</v>
      </c>
      <c r="G114" s="10" t="e">
        <f t="shared" si="35"/>
        <v>#N/A</v>
      </c>
      <c r="H114" s="12" t="e">
        <f t="shared" si="32"/>
        <v>#N/A</v>
      </c>
      <c r="I114" s="1"/>
    </row>
    <row r="115" spans="1:9" ht="15.75" customHeight="1" thickTop="1" thickBot="1" x14ac:dyDescent="0.3">
      <c r="A115" s="1"/>
      <c r="B115" s="8" t="s">
        <v>123</v>
      </c>
      <c r="C115" s="8" t="s">
        <v>7</v>
      </c>
      <c r="D115" s="9" t="e">
        <f>VLOOKUP(B115,'Nutrition Plan'!$D$82:$F$92,3,0)</f>
        <v>#N/A</v>
      </c>
      <c r="E115" s="10" t="e">
        <f>D115/(36/25)</f>
        <v>#N/A</v>
      </c>
      <c r="F115" s="11" t="e">
        <f>D115/(36/1.5)</f>
        <v>#N/A</v>
      </c>
      <c r="G115" s="10" t="e">
        <f>D115/(36/5)</f>
        <v>#N/A</v>
      </c>
      <c r="H115" s="12" t="e">
        <f t="shared" si="32"/>
        <v>#N/A</v>
      </c>
      <c r="I115" s="1"/>
    </row>
    <row r="116" spans="1:9" ht="15.75" customHeight="1" thickTop="1" thickBot="1" x14ac:dyDescent="0.3">
      <c r="A116" s="1"/>
      <c r="B116" s="8" t="s">
        <v>124</v>
      </c>
      <c r="C116" s="8" t="s">
        <v>7</v>
      </c>
      <c r="D116" s="9" t="e">
        <f>VLOOKUP(B116,'Nutrition Plan'!$D$82:$F$92,3,0)</f>
        <v>#N/A</v>
      </c>
      <c r="E116" s="10" t="e">
        <f>D116/(29/25)</f>
        <v>#N/A</v>
      </c>
      <c r="F116" s="11">
        <f>0</f>
        <v>0</v>
      </c>
      <c r="G116" s="10" t="e">
        <f>D116/(29/1)</f>
        <v>#N/A</v>
      </c>
      <c r="H116" s="12" t="e">
        <f t="shared" si="32"/>
        <v>#N/A</v>
      </c>
      <c r="I116" s="1"/>
    </row>
    <row r="117" spans="1:9" ht="15.75" customHeight="1" thickTop="1" thickBot="1" x14ac:dyDescent="0.3">
      <c r="A117" s="1"/>
      <c r="B117" s="8" t="s">
        <v>125</v>
      </c>
      <c r="C117" s="8" t="s">
        <v>7</v>
      </c>
      <c r="D117" s="9" t="e">
        <f>VLOOKUP(B117,'Nutrition Plan'!$D$82:$F$92,3,0)</f>
        <v>#N/A</v>
      </c>
      <c r="E117" s="10" t="e">
        <f>D117/(31/25)</f>
        <v>#N/A</v>
      </c>
      <c r="F117" s="11" t="e">
        <f>D117/(31/0.5)</f>
        <v>#N/A</v>
      </c>
      <c r="G117" s="10" t="e">
        <f>D117/(31/2)</f>
        <v>#N/A</v>
      </c>
      <c r="H117" s="12" t="e">
        <f t="shared" si="32"/>
        <v>#N/A</v>
      </c>
      <c r="I117" s="1"/>
    </row>
    <row r="118" spans="1:9" ht="15.75" customHeight="1" thickTop="1" thickBot="1" x14ac:dyDescent="0.3">
      <c r="A118" s="1"/>
      <c r="B118" s="8" t="s">
        <v>126</v>
      </c>
      <c r="C118" s="8" t="s">
        <v>7</v>
      </c>
      <c r="D118" s="9" t="e">
        <f>VLOOKUP(B118,'Nutrition Plan'!$D$82:$F$92,3,0)</f>
        <v>#N/A</v>
      </c>
      <c r="E118" s="10" t="e">
        <f>D118/(30.1/25)</f>
        <v>#N/A</v>
      </c>
      <c r="F118" s="11">
        <f t="shared" ref="F118:F119" si="36">0</f>
        <v>0</v>
      </c>
      <c r="G118" s="10" t="e">
        <f>D118/(30.1/1)</f>
        <v>#N/A</v>
      </c>
      <c r="H118" s="12" t="e">
        <f t="shared" si="32"/>
        <v>#N/A</v>
      </c>
      <c r="I118" s="1"/>
    </row>
    <row r="119" spans="1:9" ht="15.75" customHeight="1" thickTop="1" thickBot="1" x14ac:dyDescent="0.3">
      <c r="A119" s="1"/>
      <c r="B119" s="8" t="s">
        <v>127</v>
      </c>
      <c r="C119" s="8" t="s">
        <v>7</v>
      </c>
      <c r="D119" s="9" t="e">
        <f>VLOOKUP(B119,'Nutrition Plan'!$D$82:$F$92,3,0)</f>
        <v>#N/A</v>
      </c>
      <c r="E119" s="10" t="e">
        <f>D119/(29/25)</f>
        <v>#N/A</v>
      </c>
      <c r="F119" s="11">
        <f t="shared" si="36"/>
        <v>0</v>
      </c>
      <c r="G119" s="10" t="e">
        <f>D119/(29/1)</f>
        <v>#N/A</v>
      </c>
      <c r="H119" s="12" t="e">
        <f t="shared" si="32"/>
        <v>#N/A</v>
      </c>
      <c r="I119" s="1"/>
    </row>
    <row r="120" spans="1:9" ht="15.75" customHeight="1" thickTop="1" thickBot="1" x14ac:dyDescent="0.3">
      <c r="A120" s="1"/>
      <c r="B120" s="8" t="s">
        <v>128</v>
      </c>
      <c r="C120" s="8" t="s">
        <v>7</v>
      </c>
      <c r="D120" s="9" t="e">
        <f>VLOOKUP(B120,'Nutrition Plan'!$D$82:$F$92,3,0)</f>
        <v>#N/A</v>
      </c>
      <c r="E120" s="10" t="e">
        <f>D120/(39.5/24)</f>
        <v>#N/A</v>
      </c>
      <c r="F120" s="11" t="e">
        <f>D120/(39.5/3.5)</f>
        <v>#N/A</v>
      </c>
      <c r="G120" s="10" t="e">
        <f>D120/(39.5/8)</f>
        <v>#N/A</v>
      </c>
      <c r="H120" s="12" t="e">
        <f t="shared" si="32"/>
        <v>#N/A</v>
      </c>
      <c r="I120" s="1"/>
    </row>
    <row r="121" spans="1:9" ht="15.75" customHeight="1" thickTop="1" thickBot="1" x14ac:dyDescent="0.3">
      <c r="A121" s="1"/>
      <c r="B121" s="8" t="s">
        <v>129</v>
      </c>
      <c r="C121" s="8" t="s">
        <v>7</v>
      </c>
      <c r="D121" s="9" t="e">
        <f>VLOOKUP(B121,'Nutrition Plan'!$D$82:$F$92,3,0)</f>
        <v>#N/A</v>
      </c>
      <c r="E121" s="10" t="e">
        <f>D121/(36.5/24)</f>
        <v>#N/A</v>
      </c>
      <c r="F121" s="11" t="e">
        <f>D121/(36.5/3.5)</f>
        <v>#N/A</v>
      </c>
      <c r="G121" s="10" t="e">
        <f>D121/(36.5/5)</f>
        <v>#N/A</v>
      </c>
      <c r="H121" s="12" t="e">
        <f t="shared" si="32"/>
        <v>#N/A</v>
      </c>
      <c r="I121" s="1"/>
    </row>
    <row r="122" spans="1:9" ht="15.75" customHeight="1" thickTop="1" thickBot="1" x14ac:dyDescent="0.3">
      <c r="A122" s="1"/>
      <c r="B122" s="8" t="s">
        <v>130</v>
      </c>
      <c r="C122" s="8" t="s">
        <v>7</v>
      </c>
      <c r="D122" s="9" t="e">
        <f>VLOOKUP(B122,'Nutrition Plan'!$D$82:$F$92,3,0)</f>
        <v>#N/A</v>
      </c>
      <c r="E122" s="10" t="e">
        <f>D122/(37.1/24)</f>
        <v>#N/A</v>
      </c>
      <c r="F122" s="11" t="e">
        <f>D122/(37.1/3.5)</f>
        <v>#N/A</v>
      </c>
      <c r="G122" s="10" t="e">
        <f>D122/(37.1/6)</f>
        <v>#N/A</v>
      </c>
      <c r="H122" s="12" t="e">
        <f t="shared" si="32"/>
        <v>#N/A</v>
      </c>
      <c r="I122" s="1"/>
    </row>
    <row r="123" spans="1:9" ht="15.75" customHeight="1" thickTop="1" thickBot="1" x14ac:dyDescent="0.3">
      <c r="A123" s="1"/>
      <c r="B123" s="8" t="s">
        <v>131</v>
      </c>
      <c r="C123" s="8" t="s">
        <v>7</v>
      </c>
      <c r="D123" s="9" t="e">
        <f>VLOOKUP(B123,'Nutrition Plan'!$D$82:$F$92,3,0)</f>
        <v>#N/A</v>
      </c>
      <c r="E123" s="10" t="e">
        <f>D123/(36.3/24)</f>
        <v>#N/A</v>
      </c>
      <c r="F123" s="11" t="e">
        <f>D123/(36.3/3.5)</f>
        <v>#N/A</v>
      </c>
      <c r="G123" s="10" t="e">
        <f>D123/(36.3/5)</f>
        <v>#N/A</v>
      </c>
      <c r="H123" s="12" t="e">
        <f t="shared" si="32"/>
        <v>#N/A</v>
      </c>
      <c r="I123" s="1"/>
    </row>
    <row r="124" spans="1:9" ht="15.75" customHeight="1" thickTop="1" thickBot="1" x14ac:dyDescent="0.3">
      <c r="A124" s="1"/>
      <c r="B124" s="8" t="s">
        <v>132</v>
      </c>
      <c r="C124" s="8" t="s">
        <v>7</v>
      </c>
      <c r="D124" s="9" t="e">
        <f>VLOOKUP(B124,'Nutrition Plan'!$D$82:$F$92,3,0)</f>
        <v>#N/A</v>
      </c>
      <c r="E124" s="10" t="e">
        <f>D124/(23/20)</f>
        <v>#N/A</v>
      </c>
      <c r="F124" s="11" t="e">
        <f>D124/(23/0.56)</f>
        <v>#N/A</v>
      </c>
      <c r="G124" s="10">
        <f>0</f>
        <v>0</v>
      </c>
      <c r="H124" s="12" t="e">
        <f t="shared" si="32"/>
        <v>#N/A</v>
      </c>
      <c r="I124" s="1"/>
    </row>
    <row r="125" spans="1:9" ht="15.75" customHeight="1" thickTop="1" thickBot="1" x14ac:dyDescent="0.3">
      <c r="A125" s="1"/>
      <c r="B125" s="8" t="s">
        <v>133</v>
      </c>
      <c r="C125" s="8" t="s">
        <v>134</v>
      </c>
      <c r="D125" s="9" t="e">
        <f>VLOOKUP(B125,'Nutrition Plan'!$D$82:$F$92,3,0)</f>
        <v>#N/A</v>
      </c>
      <c r="E125" s="10" t="e">
        <f>D125/(1/23)</f>
        <v>#N/A</v>
      </c>
      <c r="F125" s="11" t="e">
        <f>D125/(1/8)</f>
        <v>#N/A</v>
      </c>
      <c r="G125" s="10" t="e">
        <f>D125/(1/21)</f>
        <v>#N/A</v>
      </c>
      <c r="H125" s="12" t="e">
        <f t="shared" si="32"/>
        <v>#N/A</v>
      </c>
      <c r="I125" s="1"/>
    </row>
    <row r="126" spans="1:9" ht="15.75" customHeight="1" thickTop="1" thickBot="1" x14ac:dyDescent="0.3">
      <c r="A126" s="1"/>
      <c r="B126" s="8" t="s">
        <v>135</v>
      </c>
      <c r="C126" s="8" t="s">
        <v>134</v>
      </c>
      <c r="D126" s="9" t="e">
        <f>VLOOKUP(B126,'Nutrition Plan'!$D$82:$F$92,3,0)</f>
        <v>#N/A</v>
      </c>
      <c r="E126" s="10" t="e">
        <f>D126/(1/13)</f>
        <v>#N/A</v>
      </c>
      <c r="F126" s="11" t="e">
        <f>D126/(1/12)</f>
        <v>#N/A</v>
      </c>
      <c r="G126" s="10" t="e">
        <f>D126/(1/10)</f>
        <v>#N/A</v>
      </c>
      <c r="H126" s="12" t="e">
        <f t="shared" si="32"/>
        <v>#N/A</v>
      </c>
      <c r="I126" s="1"/>
    </row>
    <row r="127" spans="1:9" ht="15.75" customHeight="1" thickTop="1" thickBot="1" x14ac:dyDescent="0.3">
      <c r="A127" s="1"/>
      <c r="B127" s="8" t="s">
        <v>136</v>
      </c>
      <c r="C127" s="8" t="s">
        <v>134</v>
      </c>
      <c r="D127" s="9" t="e">
        <f>VLOOKUP(B127,'Nutrition Plan'!$D$82:$F$92,3,0)</f>
        <v>#N/A</v>
      </c>
      <c r="E127" s="10" t="e">
        <f t="shared" ref="E127:E128" si="37">D127/(1/21)</f>
        <v>#N/A</v>
      </c>
      <c r="F127" s="11" t="e">
        <f>D127/(1/8)</f>
        <v>#N/A</v>
      </c>
      <c r="G127" s="10" t="e">
        <f t="shared" ref="G127:G128" si="38">D127/(1/5)</f>
        <v>#N/A</v>
      </c>
      <c r="H127" s="12" t="e">
        <f t="shared" si="32"/>
        <v>#N/A</v>
      </c>
      <c r="I127" s="1"/>
    </row>
    <row r="128" spans="1:9" ht="15.75" customHeight="1" thickTop="1" thickBot="1" x14ac:dyDescent="0.3">
      <c r="A128" s="1"/>
      <c r="B128" s="8" t="s">
        <v>137</v>
      </c>
      <c r="C128" s="8" t="s">
        <v>134</v>
      </c>
      <c r="D128" s="9" t="e">
        <f>VLOOKUP(B128,'Nutrition Plan'!$D$82:$F$92,3,0)</f>
        <v>#N/A</v>
      </c>
      <c r="E128" s="10" t="e">
        <f t="shared" si="37"/>
        <v>#N/A</v>
      </c>
      <c r="F128" s="11" t="e">
        <f>D128/(1/7)</f>
        <v>#N/A</v>
      </c>
      <c r="G128" s="10" t="e">
        <f t="shared" si="38"/>
        <v>#N/A</v>
      </c>
      <c r="H128" s="12" t="e">
        <f t="shared" si="32"/>
        <v>#N/A</v>
      </c>
      <c r="I128" s="1"/>
    </row>
    <row r="129" spans="1:9" ht="15.75" customHeight="1" thickTop="1" thickBot="1" x14ac:dyDescent="0.3">
      <c r="A129" s="1"/>
      <c r="B129" s="8" t="s">
        <v>138</v>
      </c>
      <c r="C129" s="8" t="s">
        <v>134</v>
      </c>
      <c r="D129" s="9" t="e">
        <f>VLOOKUP(B129,'Nutrition Plan'!$D$82:$F$92,3,0)</f>
        <v>#N/A</v>
      </c>
      <c r="E129" s="10" t="e">
        <f t="shared" ref="E129:E131" si="39">D129/(1/20)</f>
        <v>#N/A</v>
      </c>
      <c r="F129" s="11" t="e">
        <f>D129/(1/9)</f>
        <v>#N/A</v>
      </c>
      <c r="G129" s="10" t="e">
        <f>D129/(1/4)</f>
        <v>#N/A</v>
      </c>
      <c r="H129" s="12" t="e">
        <f t="shared" si="32"/>
        <v>#N/A</v>
      </c>
      <c r="I129" s="1"/>
    </row>
    <row r="130" spans="1:9" ht="15.75" customHeight="1" thickTop="1" thickBot="1" x14ac:dyDescent="0.3">
      <c r="A130" s="1"/>
      <c r="B130" s="8" t="s">
        <v>139</v>
      </c>
      <c r="C130" s="8" t="s">
        <v>134</v>
      </c>
      <c r="D130" s="9" t="e">
        <f>VLOOKUP(B130,'Nutrition Plan'!$D$82:$F$92,3,0)</f>
        <v>#N/A</v>
      </c>
      <c r="E130" s="10" t="e">
        <f t="shared" si="39"/>
        <v>#N/A</v>
      </c>
      <c r="F130" s="11" t="e">
        <f t="shared" ref="F130:F131" si="40">D130/(1/8)</f>
        <v>#N/A</v>
      </c>
      <c r="G130" s="10" t="e">
        <f t="shared" ref="G130:G131" si="41">D130/(1/22)</f>
        <v>#N/A</v>
      </c>
      <c r="H130" s="12" t="e">
        <f t="shared" si="32"/>
        <v>#N/A</v>
      </c>
      <c r="I130" s="1"/>
    </row>
    <row r="131" spans="1:9" ht="15.75" customHeight="1" thickTop="1" thickBot="1" x14ac:dyDescent="0.3">
      <c r="A131" s="1"/>
      <c r="B131" s="8" t="s">
        <v>140</v>
      </c>
      <c r="C131" s="8" t="s">
        <v>134</v>
      </c>
      <c r="D131" s="9" t="e">
        <f>VLOOKUP(B131,'Nutrition Plan'!$D$82:$F$92,3,0)</f>
        <v>#N/A</v>
      </c>
      <c r="E131" s="10" t="e">
        <f t="shared" si="39"/>
        <v>#N/A</v>
      </c>
      <c r="F131" s="11" t="e">
        <f t="shared" si="40"/>
        <v>#N/A</v>
      </c>
      <c r="G131" s="10" t="e">
        <f t="shared" si="41"/>
        <v>#N/A</v>
      </c>
      <c r="H131" s="12" t="e">
        <f t="shared" si="32"/>
        <v>#N/A</v>
      </c>
      <c r="I131" s="1"/>
    </row>
    <row r="132" spans="1:9" ht="15.75" customHeight="1" thickTop="1" x14ac:dyDescent="0.3">
      <c r="A132" s="1"/>
      <c r="B132" s="173" t="s">
        <v>37</v>
      </c>
      <c r="C132" s="174"/>
      <c r="D132" s="174"/>
      <c r="E132" s="174"/>
      <c r="F132" s="174"/>
      <c r="G132" s="174"/>
      <c r="H132" s="134"/>
      <c r="I132" s="1"/>
    </row>
    <row r="133" spans="1:9" ht="15.75" customHeight="1" thickBot="1" x14ac:dyDescent="0.3">
      <c r="A133" s="1"/>
      <c r="B133" s="8" t="s">
        <v>141</v>
      </c>
      <c r="C133" s="8" t="s">
        <v>7</v>
      </c>
      <c r="D133" s="9" t="e">
        <f>VLOOKUP(B133,'Nutrition Plan'!$D$82:$F$92,3,0)</f>
        <v>#N/A</v>
      </c>
      <c r="E133" s="10" t="e">
        <f>D133/(100/0.2)</f>
        <v>#N/A</v>
      </c>
      <c r="F133" s="11" t="e">
        <f>D133/(100/0.18)</f>
        <v>#N/A</v>
      </c>
      <c r="G133" s="10" t="e">
        <f>D133/(100/15.22)</f>
        <v>#N/A</v>
      </c>
      <c r="H133" s="12" t="e">
        <f t="shared" ref="H133:H159" si="42">(E133*4)+(F133*9)+(G133*4)</f>
        <v>#N/A</v>
      </c>
      <c r="I133" s="1"/>
    </row>
    <row r="134" spans="1:9" ht="15.75" customHeight="1" thickTop="1" thickBot="1" x14ac:dyDescent="0.3">
      <c r="A134" s="1"/>
      <c r="B134" s="8" t="s">
        <v>142</v>
      </c>
      <c r="C134" s="8" t="s">
        <v>7</v>
      </c>
      <c r="D134" s="9" t="e">
        <f>VLOOKUP(B134,'Nutrition Plan'!$D$82:$F$92,3,0)</f>
        <v>#N/A</v>
      </c>
      <c r="E134" s="10" t="e">
        <f>D134/(100/0.25)</f>
        <v>#N/A</v>
      </c>
      <c r="F134" s="11" t="e">
        <f>D134/(100/0.12)</f>
        <v>#N/A</v>
      </c>
      <c r="G134" s="10" t="e">
        <f>D134/(100/13.68)</f>
        <v>#N/A</v>
      </c>
      <c r="H134" s="12" t="e">
        <f t="shared" si="42"/>
        <v>#N/A</v>
      </c>
      <c r="I134" s="1"/>
    </row>
    <row r="135" spans="1:9" ht="15.75" customHeight="1" thickTop="1" thickBot="1" x14ac:dyDescent="0.3">
      <c r="A135" s="1"/>
      <c r="B135" s="8" t="s">
        <v>143</v>
      </c>
      <c r="C135" s="8" t="s">
        <v>7</v>
      </c>
      <c r="D135" s="9" t="e">
        <f>VLOOKUP(B135,'Nutrition Plan'!$D$82:$F$92,3,0)</f>
        <v>#N/A</v>
      </c>
      <c r="E135" s="10" t="e">
        <f>D135/(100/0.44)</f>
        <v>#N/A</v>
      </c>
      <c r="F135" s="11" t="e">
        <f>D135/(100/0.19)</f>
        <v>#N/A</v>
      </c>
      <c r="G135" s="10" t="e">
        <f>D135/(100/13.61)</f>
        <v>#N/A</v>
      </c>
      <c r="H135" s="12" t="e">
        <f t="shared" si="42"/>
        <v>#N/A</v>
      </c>
      <c r="I135" s="1"/>
    </row>
    <row r="136" spans="1:9" ht="15.75" customHeight="1" thickTop="1" thickBot="1" x14ac:dyDescent="0.3">
      <c r="A136" s="1"/>
      <c r="B136" s="8" t="s">
        <v>144</v>
      </c>
      <c r="C136" s="8" t="s">
        <v>7</v>
      </c>
      <c r="D136" s="9" t="e">
        <f>VLOOKUP(B136,'Nutrition Plan'!$D$82:$F$92,3,0)</f>
        <v>#N/A</v>
      </c>
      <c r="E136" s="10">
        <v>0</v>
      </c>
      <c r="F136" s="11">
        <v>0</v>
      </c>
      <c r="G136" s="10" t="e">
        <f>D136/(122/13)</f>
        <v>#N/A</v>
      </c>
      <c r="H136" s="12" t="e">
        <f t="shared" si="42"/>
        <v>#N/A</v>
      </c>
      <c r="I136" s="1"/>
    </row>
    <row r="137" spans="1:9" ht="15.75" customHeight="1" thickTop="1" thickBot="1" x14ac:dyDescent="0.3">
      <c r="A137" s="1"/>
      <c r="B137" s="8" t="s">
        <v>145</v>
      </c>
      <c r="C137" s="8" t="s">
        <v>7</v>
      </c>
      <c r="D137" s="9" t="e">
        <f>VLOOKUP(B137,'Nutrition Plan'!$D$82:$F$92,3,0)</f>
        <v>#N/A</v>
      </c>
      <c r="E137" s="10" t="e">
        <f>D137/(100/2)</f>
        <v>#N/A</v>
      </c>
      <c r="F137" s="11" t="e">
        <f>D137/(100/14.66)</f>
        <v>#N/A</v>
      </c>
      <c r="G137" s="10" t="e">
        <f>D137/(100/8.53)</f>
        <v>#N/A</v>
      </c>
      <c r="H137" s="12" t="e">
        <f t="shared" si="42"/>
        <v>#N/A</v>
      </c>
      <c r="I137" s="1"/>
    </row>
    <row r="138" spans="1:9" ht="15.75" customHeight="1" thickTop="1" thickBot="1" x14ac:dyDescent="0.3">
      <c r="A138" s="1"/>
      <c r="B138" s="8" t="s">
        <v>146</v>
      </c>
      <c r="C138" s="8" t="s">
        <v>7</v>
      </c>
      <c r="D138" s="9" t="e">
        <f>VLOOKUP(B138,'Nutrition Plan'!$D$82:$F$92,3,0)</f>
        <v>#N/A</v>
      </c>
      <c r="E138" s="10" t="e">
        <f>D138/(100/1.1)</f>
        <v>#N/A</v>
      </c>
      <c r="F138" s="11" t="e">
        <f t="shared" ref="F138:F139" si="43">D138/(100/0.33)</f>
        <v>#N/A</v>
      </c>
      <c r="G138" s="10" t="e">
        <f>D138/(100/22.84)</f>
        <v>#N/A</v>
      </c>
      <c r="H138" s="12" t="e">
        <f t="shared" si="42"/>
        <v>#N/A</v>
      </c>
      <c r="I138" s="1"/>
    </row>
    <row r="139" spans="1:9" ht="15.75" customHeight="1" thickTop="1" thickBot="1" x14ac:dyDescent="0.3">
      <c r="A139" s="1"/>
      <c r="B139" s="8" t="s">
        <v>147</v>
      </c>
      <c r="C139" s="8" t="s">
        <v>7</v>
      </c>
      <c r="D139" s="9" t="e">
        <f>VLOOKUP(B139,'Nutrition Plan'!$D$82:$F$92,3,0)</f>
        <v>#N/A</v>
      </c>
      <c r="E139" s="10" t="e">
        <f>D139/(100/0.74)</f>
        <v>#N/A</v>
      </c>
      <c r="F139" s="11" t="e">
        <f t="shared" si="43"/>
        <v>#N/A</v>
      </c>
      <c r="G139" s="10" t="e">
        <f>D139/(100/14.49)</f>
        <v>#N/A</v>
      </c>
      <c r="H139" s="12" t="e">
        <f t="shared" si="42"/>
        <v>#N/A</v>
      </c>
      <c r="I139" s="1"/>
    </row>
    <row r="140" spans="1:9" ht="15.75" customHeight="1" thickTop="1" thickBot="1" x14ac:dyDescent="0.3">
      <c r="A140" s="1"/>
      <c r="B140" s="8" t="s">
        <v>148</v>
      </c>
      <c r="C140" s="8" t="s">
        <v>7</v>
      </c>
      <c r="D140" s="9" t="e">
        <f>VLOOKUP(B140,'Nutrition Plan'!$D$82:$F$92,3,0)</f>
        <v>#N/A</v>
      </c>
      <c r="E140" s="10" t="e">
        <f>D140/(28/0.18)</f>
        <v>#N/A</v>
      </c>
      <c r="F140" s="11" t="e">
        <f>D140/(28/0.03)</f>
        <v>#N/A</v>
      </c>
      <c r="G140" s="10" t="e">
        <f>D140/(28/2.26)</f>
        <v>#N/A</v>
      </c>
      <c r="H140" s="12" t="e">
        <f t="shared" si="42"/>
        <v>#N/A</v>
      </c>
      <c r="I140" s="1"/>
    </row>
    <row r="141" spans="1:9" ht="15.75" customHeight="1" thickTop="1" thickBot="1" x14ac:dyDescent="0.3">
      <c r="A141" s="1"/>
      <c r="B141" s="8" t="s">
        <v>149</v>
      </c>
      <c r="C141" s="8" t="s">
        <v>7</v>
      </c>
      <c r="D141" s="9" t="e">
        <f>VLOOKUP(B141,'Nutrition Plan'!$D$82:$F$92,3,0)</f>
        <v>#N/A</v>
      </c>
      <c r="E141" s="10" t="e">
        <f>D141/(100/0.72)</f>
        <v>#N/A</v>
      </c>
      <c r="F141" s="11" t="e">
        <f>D141/(100/0.16)</f>
        <v>#N/A</v>
      </c>
      <c r="G141" s="10" t="e">
        <f>D141/(100/18.1)</f>
        <v>#N/A</v>
      </c>
      <c r="H141" s="12" t="e">
        <f t="shared" si="42"/>
        <v>#N/A</v>
      </c>
      <c r="I141" s="1"/>
    </row>
    <row r="142" spans="1:9" ht="15.75" customHeight="1" thickTop="1" thickBot="1" x14ac:dyDescent="0.3">
      <c r="A142" s="1"/>
      <c r="B142" s="8" t="s">
        <v>150</v>
      </c>
      <c r="C142" s="8" t="s">
        <v>7</v>
      </c>
      <c r="D142" s="9" t="e">
        <f>VLOOKUP(B142,'Nutrition Plan'!$D$82:$F$92,3,0)</f>
        <v>#N/A</v>
      </c>
      <c r="E142" s="10" t="e">
        <f>D142/(28/0.32)</f>
        <v>#N/A</v>
      </c>
      <c r="F142" s="11" t="e">
        <f>D142/(28/0.15)</f>
        <v>#N/A</v>
      </c>
      <c r="G142" s="10" t="e">
        <f>D142/(28/4.1)</f>
        <v>#N/A</v>
      </c>
      <c r="H142" s="12" t="e">
        <f t="shared" si="42"/>
        <v>#N/A</v>
      </c>
      <c r="I142" s="1"/>
    </row>
    <row r="143" spans="1:9" ht="15.75" customHeight="1" thickTop="1" thickBot="1" x14ac:dyDescent="0.3">
      <c r="A143" s="1"/>
      <c r="B143" s="8" t="s">
        <v>151</v>
      </c>
      <c r="C143" s="8" t="s">
        <v>7</v>
      </c>
      <c r="D143" s="9" t="e">
        <f>VLOOKUP(B143,'Nutrition Plan'!$D$82:$F$92,3,0)</f>
        <v>#N/A</v>
      </c>
      <c r="E143" s="10" t="e">
        <f>D143/(28/0.23)</f>
        <v>#N/A</v>
      </c>
      <c r="F143" s="11" t="e">
        <f>D143/(28/0.11)</f>
        <v>#N/A</v>
      </c>
      <c r="G143" s="10" t="e">
        <f>D143/(28/4.2)</f>
        <v>#N/A</v>
      </c>
      <c r="H143" s="12" t="e">
        <f t="shared" si="42"/>
        <v>#N/A</v>
      </c>
      <c r="I143" s="1"/>
    </row>
    <row r="144" spans="1:9" ht="15.75" customHeight="1" thickTop="1" thickBot="1" x14ac:dyDescent="0.3">
      <c r="A144" s="1"/>
      <c r="B144" s="8" t="s">
        <v>152</v>
      </c>
      <c r="C144" s="8" t="s">
        <v>7</v>
      </c>
      <c r="D144" s="9" t="e">
        <f>VLOOKUP(B144,'Nutrition Plan'!$D$82:$F$92,3,0)</f>
        <v>#N/A</v>
      </c>
      <c r="E144" s="10" t="e">
        <f>D144/(28/0.3)</f>
        <v>#N/A</v>
      </c>
      <c r="F144" s="11" t="e">
        <f>D144/(28/0.09)</f>
        <v>#N/A</v>
      </c>
      <c r="G144" s="10" t="e">
        <f>D144/(28/3)</f>
        <v>#N/A</v>
      </c>
      <c r="H144" s="12" t="e">
        <f t="shared" si="42"/>
        <v>#N/A</v>
      </c>
      <c r="I144" s="1"/>
    </row>
    <row r="145" spans="1:9" ht="15.75" customHeight="1" thickTop="1" thickBot="1" x14ac:dyDescent="0.3">
      <c r="A145" s="1"/>
      <c r="B145" s="8" t="s">
        <v>153</v>
      </c>
      <c r="C145" s="8" t="s">
        <v>7</v>
      </c>
      <c r="D145" s="9" t="e">
        <f>VLOOKUP(B145,'Nutrition Plan'!$D$82:$F$92,3,0)</f>
        <v>#N/A</v>
      </c>
      <c r="E145" s="10" t="e">
        <f>D145/(28/0.26)</f>
        <v>#N/A</v>
      </c>
      <c r="F145" s="11" t="e">
        <f>D145/(28/0.03)</f>
        <v>#N/A</v>
      </c>
      <c r="G145" s="10" t="e">
        <f>D145/(28/3.3)</f>
        <v>#N/A</v>
      </c>
      <c r="H145" s="12" t="e">
        <f t="shared" si="42"/>
        <v>#N/A</v>
      </c>
      <c r="I145" s="1"/>
    </row>
    <row r="146" spans="1:9" ht="15.75" customHeight="1" thickTop="1" thickBot="1" x14ac:dyDescent="0.3">
      <c r="A146" s="1"/>
      <c r="B146" s="8" t="s">
        <v>154</v>
      </c>
      <c r="C146" s="8" t="s">
        <v>7</v>
      </c>
      <c r="D146" s="9" t="e">
        <f>VLOOKUP(B146,'Nutrition Plan'!$D$82:$F$92,3,0)</f>
        <v>#N/A</v>
      </c>
      <c r="E146" s="10" t="e">
        <f>D146/(28/0.25)</f>
        <v>#N/A</v>
      </c>
      <c r="F146" s="11" t="e">
        <f>D146/(28/0.07)</f>
        <v>#N/A</v>
      </c>
      <c r="G146" s="10" t="e">
        <f>D146/(28/2.67)</f>
        <v>#N/A</v>
      </c>
      <c r="H146" s="12" t="e">
        <f t="shared" si="42"/>
        <v>#N/A</v>
      </c>
      <c r="I146" s="1"/>
    </row>
    <row r="147" spans="1:9" ht="15.75" customHeight="1" thickTop="1" thickBot="1" x14ac:dyDescent="0.3">
      <c r="A147" s="1"/>
      <c r="B147" s="8" t="s">
        <v>155</v>
      </c>
      <c r="C147" s="8" t="s">
        <v>7</v>
      </c>
      <c r="D147" s="9" t="e">
        <f>VLOOKUP(B147,'Nutrition Plan'!$D$82:$F$92,3,0)</f>
        <v>#N/A</v>
      </c>
      <c r="E147" s="10" t="e">
        <f>D147/(28/0.15)</f>
        <v>#N/A</v>
      </c>
      <c r="F147" s="11" t="e">
        <f>D147/(28/0.03)</f>
        <v>#N/A</v>
      </c>
      <c r="G147" s="10" t="e">
        <f>D147/(28/3.67)</f>
        <v>#N/A</v>
      </c>
      <c r="H147" s="12" t="e">
        <f t="shared" si="42"/>
        <v>#N/A</v>
      </c>
      <c r="I147" s="1"/>
    </row>
    <row r="148" spans="1:9" ht="15.75" customHeight="1" thickTop="1" thickBot="1" x14ac:dyDescent="0.3">
      <c r="A148" s="1"/>
      <c r="B148" s="8" t="s">
        <v>156</v>
      </c>
      <c r="C148" s="8" t="s">
        <v>7</v>
      </c>
      <c r="D148" s="9" t="e">
        <f>VLOOKUP(B148,'Nutrition Plan'!$D$82:$F$92,3,0)</f>
        <v>#N/A</v>
      </c>
      <c r="E148" s="10" t="e">
        <f>D148/(28/0.2)</f>
        <v>#N/A</v>
      </c>
      <c r="F148" s="11" t="e">
        <f>D148/(28/0.08)</f>
        <v>#N/A</v>
      </c>
      <c r="G148" s="10" t="e">
        <f>D148/(28/3.2)</f>
        <v>#N/A</v>
      </c>
      <c r="H148" s="12" t="e">
        <f t="shared" si="42"/>
        <v>#N/A</v>
      </c>
      <c r="I148" s="1"/>
    </row>
    <row r="149" spans="1:9" ht="15.75" customHeight="1" thickTop="1" thickBot="1" x14ac:dyDescent="0.3">
      <c r="A149" s="1"/>
      <c r="B149" s="8" t="s">
        <v>157</v>
      </c>
      <c r="C149" s="8" t="s">
        <v>7</v>
      </c>
      <c r="D149" s="9" t="e">
        <f>VLOOKUP(B149,'Nutrition Plan'!$D$82:$F$92,3,0)</f>
        <v>#N/A</v>
      </c>
      <c r="E149" s="10" t="e">
        <f>D149/(100/1.2)</f>
        <v>#N/A</v>
      </c>
      <c r="F149" s="11" t="e">
        <f>D149/(100/0.65)</f>
        <v>#N/A</v>
      </c>
      <c r="G149" s="10" t="e">
        <f>D149/(100/11.4)</f>
        <v>#N/A</v>
      </c>
      <c r="H149" s="12" t="e">
        <f t="shared" si="42"/>
        <v>#N/A</v>
      </c>
      <c r="I149" s="1"/>
    </row>
    <row r="150" spans="1:9" ht="15.75" customHeight="1" thickTop="1" thickBot="1" x14ac:dyDescent="0.3">
      <c r="A150" s="1"/>
      <c r="B150" s="8" t="s">
        <v>158</v>
      </c>
      <c r="C150" s="8" t="s">
        <v>7</v>
      </c>
      <c r="D150" s="9" t="e">
        <f>VLOOKUP(B150,'Nutrition Plan'!$D$82:$F$92,3,0)</f>
        <v>#N/A</v>
      </c>
      <c r="E150" s="10" t="e">
        <f>D150/(28/0.19)</f>
        <v>#N/A</v>
      </c>
      <c r="F150" s="11" t="e">
        <f>D150/(28/0.08)</f>
        <v>#N/A</v>
      </c>
      <c r="G150" s="10" t="e">
        <f>D150/(28/2.15)</f>
        <v>#N/A</v>
      </c>
      <c r="H150" s="12" t="e">
        <f t="shared" si="42"/>
        <v>#N/A</v>
      </c>
      <c r="I150" s="1"/>
    </row>
    <row r="151" spans="1:9" ht="15.75" customHeight="1" thickTop="1" thickBot="1" x14ac:dyDescent="0.3">
      <c r="A151" s="1"/>
      <c r="B151" s="8" t="s">
        <v>159</v>
      </c>
      <c r="C151" s="8" t="s">
        <v>7</v>
      </c>
      <c r="D151" s="9" t="e">
        <f>VLOOKUP(B151,'Nutrition Plan'!$D$82:$F$92,3,0)</f>
        <v>#N/A</v>
      </c>
      <c r="E151" s="10" t="e">
        <f>D151/(100/0.61)</f>
        <v>#N/A</v>
      </c>
      <c r="F151" s="11" t="e">
        <f>D151/(100/0.15)</f>
        <v>#N/A</v>
      </c>
      <c r="G151" s="10" t="e">
        <f>D151/(100/7.55)</f>
        <v>#N/A</v>
      </c>
      <c r="H151" s="12" t="e">
        <f t="shared" si="42"/>
        <v>#N/A</v>
      </c>
      <c r="I151" s="1"/>
    </row>
    <row r="152" spans="1:9" ht="15.75" customHeight="1" thickTop="1" thickBot="1" x14ac:dyDescent="0.3">
      <c r="A152" s="1"/>
      <c r="B152" s="8" t="s">
        <v>160</v>
      </c>
      <c r="C152" s="8" t="s">
        <v>7</v>
      </c>
      <c r="D152" s="9" t="e">
        <f>VLOOKUP(B152,'Nutrition Plan'!$D$82:$F$92,3,0)</f>
        <v>#N/A</v>
      </c>
      <c r="E152" s="10" t="e">
        <f>D152/(28/4)</f>
        <v>#N/A</v>
      </c>
      <c r="F152" s="11" t="e">
        <f>D152/(28/2.2)</f>
        <v>#N/A</v>
      </c>
      <c r="G152" s="10" t="e">
        <f>D152/(28/1)</f>
        <v>#N/A</v>
      </c>
      <c r="H152" s="12" t="e">
        <f t="shared" si="42"/>
        <v>#N/A</v>
      </c>
      <c r="I152" s="1"/>
    </row>
    <row r="153" spans="1:9" ht="15.75" customHeight="1" thickTop="1" thickBot="1" x14ac:dyDescent="0.3">
      <c r="A153" s="1"/>
      <c r="B153" s="8" t="s">
        <v>161</v>
      </c>
      <c r="C153" s="8" t="s">
        <v>7</v>
      </c>
      <c r="D153" s="9" t="e">
        <f>VLOOKUP(B153,'Nutrition Plan'!$D$82:$F$92,3,0)</f>
        <v>#N/A</v>
      </c>
      <c r="E153" s="10" t="e">
        <f>D153/(28/0.67)</f>
        <v>#N/A</v>
      </c>
      <c r="F153" s="11" t="e">
        <f>D153/(28/0.06)</f>
        <v>#N/A</v>
      </c>
      <c r="G153" s="10" t="e">
        <f>D153/(28/1.15)</f>
        <v>#N/A</v>
      </c>
      <c r="H153" s="12" t="e">
        <f t="shared" si="42"/>
        <v>#N/A</v>
      </c>
      <c r="I153" s="1"/>
    </row>
    <row r="154" spans="1:9" ht="15.75" customHeight="1" thickTop="1" thickBot="1" x14ac:dyDescent="0.3">
      <c r="A154" s="1"/>
      <c r="B154" s="8" t="s">
        <v>162</v>
      </c>
      <c r="C154" s="8" t="s">
        <v>7</v>
      </c>
      <c r="D154" s="9" t="e">
        <f>VLOOKUP(B154,'Nutrition Plan'!$D$82:$F$92,3,0)</f>
        <v>#N/A</v>
      </c>
      <c r="E154" s="10" t="e">
        <f>D154/(28/0.87)</f>
        <v>#N/A</v>
      </c>
      <c r="F154" s="11" t="e">
        <f t="shared" ref="F154:F155" si="44">D154/(28/0.03)</f>
        <v>#N/A</v>
      </c>
      <c r="G154" s="10" t="e">
        <f>D154/(28/1.5)</f>
        <v>#N/A</v>
      </c>
      <c r="H154" s="12" t="e">
        <f t="shared" si="42"/>
        <v>#N/A</v>
      </c>
      <c r="I154" s="1"/>
    </row>
    <row r="155" spans="1:9" ht="15.75" customHeight="1" thickTop="1" thickBot="1" x14ac:dyDescent="0.3">
      <c r="A155" s="1"/>
      <c r="B155" s="8" t="s">
        <v>163</v>
      </c>
      <c r="C155" s="8" t="s">
        <v>7</v>
      </c>
      <c r="D155" s="9" t="e">
        <f>VLOOKUP(B155,'Nutrition Plan'!$D$82:$F$92,3,0)</f>
        <v>#N/A</v>
      </c>
      <c r="E155" s="10" t="e">
        <f>D155/(28/0.36)</f>
        <v>#N/A</v>
      </c>
      <c r="F155" s="11" t="e">
        <f t="shared" si="44"/>
        <v>#N/A</v>
      </c>
      <c r="G155" s="10" t="e">
        <f>D155/(28/1.62)</f>
        <v>#N/A</v>
      </c>
      <c r="H155" s="12" t="e">
        <f t="shared" si="42"/>
        <v>#N/A</v>
      </c>
      <c r="I155" s="1"/>
    </row>
    <row r="156" spans="1:9" ht="15.75" customHeight="1" thickTop="1" thickBot="1" x14ac:dyDescent="0.3">
      <c r="A156" s="1"/>
      <c r="B156" s="8" t="s">
        <v>164</v>
      </c>
      <c r="C156" s="8" t="s">
        <v>7</v>
      </c>
      <c r="D156" s="9" t="e">
        <f>VLOOKUP(B156,'Nutrition Plan'!$D$82:$F$92,3,0)</f>
        <v>#N/A</v>
      </c>
      <c r="E156" s="10" t="e">
        <f>D156/(28/0.54)</f>
        <v>#N/A</v>
      </c>
      <c r="F156" s="11" t="e">
        <f t="shared" ref="F156:F157" si="45">D156/(28/0.08)</f>
        <v>#N/A</v>
      </c>
      <c r="G156" s="10" t="e">
        <f>D156/(28/1.4)</f>
        <v>#N/A</v>
      </c>
      <c r="H156" s="12" t="e">
        <f t="shared" si="42"/>
        <v>#N/A</v>
      </c>
      <c r="I156" s="1"/>
    </row>
    <row r="157" spans="1:9" ht="15.75" customHeight="1" thickTop="1" thickBot="1" x14ac:dyDescent="0.3">
      <c r="A157" s="1"/>
      <c r="B157" s="8" t="s">
        <v>165</v>
      </c>
      <c r="C157" s="8" t="s">
        <v>7</v>
      </c>
      <c r="D157" s="9" t="e">
        <f>VLOOKUP(B157,'Nutrition Plan'!$D$82:$F$92,3,0)</f>
        <v>#N/A</v>
      </c>
      <c r="E157" s="10" t="e">
        <f>D157/(28/0.34)</f>
        <v>#N/A</v>
      </c>
      <c r="F157" s="11" t="e">
        <f t="shared" si="45"/>
        <v>#N/A</v>
      </c>
      <c r="G157" s="10" t="e">
        <f>D157/(28/0.92)</f>
        <v>#N/A</v>
      </c>
      <c r="H157" s="12" t="e">
        <f t="shared" si="42"/>
        <v>#N/A</v>
      </c>
      <c r="I157" s="1"/>
    </row>
    <row r="158" spans="1:9" ht="15.75" customHeight="1" thickTop="1" thickBot="1" x14ac:dyDescent="0.3">
      <c r="A158" s="1"/>
      <c r="B158" s="8" t="s">
        <v>166</v>
      </c>
      <c r="C158" s="8" t="s">
        <v>7</v>
      </c>
      <c r="D158" s="9" t="e">
        <f>VLOOKUP(B158,'Nutrition Plan'!$D$82:$F$92,3,0)</f>
        <v>#N/A</v>
      </c>
      <c r="E158" s="10" t="e">
        <f>D158/(28/1.12)</f>
        <v>#N/A</v>
      </c>
      <c r="F158" s="11" t="e">
        <f>D158/(28/0.24)</f>
        <v>#N/A</v>
      </c>
      <c r="G158" s="10" t="e">
        <f>D158/(28/1.34)</f>
        <v>#N/A</v>
      </c>
      <c r="H158" s="12" t="e">
        <f t="shared" si="42"/>
        <v>#N/A</v>
      </c>
      <c r="I158" s="1"/>
    </row>
    <row r="159" spans="1:9" ht="15.75" customHeight="1" thickTop="1" thickBot="1" x14ac:dyDescent="0.3">
      <c r="A159" s="1"/>
      <c r="B159" s="8" t="s">
        <v>167</v>
      </c>
      <c r="C159" s="8" t="s">
        <v>7</v>
      </c>
      <c r="D159" s="9" t="e">
        <f>VLOOKUP(B159,'Nutrition Plan'!$D$82:$F$92,3,0)</f>
        <v>#N/A</v>
      </c>
      <c r="E159" s="10" t="e">
        <f>D159/(28/0.34)</f>
        <v>#N/A</v>
      </c>
      <c r="F159" s="11" t="e">
        <f>D159/(28/0.09)</f>
        <v>#N/A</v>
      </c>
      <c r="G159" s="10" t="e">
        <f>D159/(28/0.87)</f>
        <v>#N/A</v>
      </c>
      <c r="H159" s="12" t="e">
        <f t="shared" si="42"/>
        <v>#N/A</v>
      </c>
      <c r="I159" s="1"/>
    </row>
    <row r="160" spans="1:9" ht="15.75" customHeight="1" thickTop="1" x14ac:dyDescent="0.25">
      <c r="A160" s="1"/>
      <c r="B160" s="1"/>
      <c r="C160" s="1"/>
      <c r="D160" s="1"/>
      <c r="E160" s="1"/>
      <c r="F160" s="1"/>
      <c r="G160" s="1"/>
      <c r="H160" s="1"/>
      <c r="I160" s="1"/>
    </row>
    <row r="161" spans="1:1" ht="15.75" customHeight="1" x14ac:dyDescent="0.25">
      <c r="A161" s="7"/>
    </row>
    <row r="162" spans="1:1" ht="15.75" customHeight="1" x14ac:dyDescent="0.25">
      <c r="A162" s="7"/>
    </row>
    <row r="163" spans="1:1" ht="15.75" customHeight="1" x14ac:dyDescent="0.25">
      <c r="A163" s="7"/>
    </row>
    <row r="164" spans="1:1" ht="15.75" customHeight="1" x14ac:dyDescent="0.25">
      <c r="A164" s="7"/>
    </row>
    <row r="165" spans="1:1" ht="15.75" customHeight="1" x14ac:dyDescent="0.25">
      <c r="A165" s="7"/>
    </row>
    <row r="166" spans="1:1" ht="15.75" customHeight="1" x14ac:dyDescent="0.25">
      <c r="A166" s="7"/>
    </row>
    <row r="167" spans="1:1" ht="15.75" customHeight="1" x14ac:dyDescent="0.25">
      <c r="A167" s="7"/>
    </row>
    <row r="168" spans="1:1" ht="15.75" customHeight="1" x14ac:dyDescent="0.25">
      <c r="A168" s="7"/>
    </row>
    <row r="169" spans="1:1" ht="15.75" customHeight="1" x14ac:dyDescent="0.25">
      <c r="A169" s="7"/>
    </row>
    <row r="170" spans="1:1" ht="15.75" customHeight="1" x14ac:dyDescent="0.25">
      <c r="A170" s="7"/>
    </row>
    <row r="171" spans="1:1" ht="15.75" customHeight="1" x14ac:dyDescent="0.25">
      <c r="A171" s="7"/>
    </row>
    <row r="172" spans="1:1" ht="15.75" customHeight="1" x14ac:dyDescent="0.25">
      <c r="A172" s="7"/>
    </row>
    <row r="173" spans="1:1" ht="15.75" customHeight="1" x14ac:dyDescent="0.25">
      <c r="A173" s="7"/>
    </row>
    <row r="174" spans="1:1" ht="15.75" customHeight="1" x14ac:dyDescent="0.25">
      <c r="A174" s="7"/>
    </row>
    <row r="175" spans="1:1" ht="15.75" customHeight="1" x14ac:dyDescent="0.25">
      <c r="A175" s="7"/>
    </row>
    <row r="176" spans="1:1" ht="15.75" customHeight="1" x14ac:dyDescent="0.25">
      <c r="A176" s="7"/>
    </row>
    <row r="177" spans="1:1" ht="15.75" customHeight="1" x14ac:dyDescent="0.25">
      <c r="A177" s="7"/>
    </row>
    <row r="178" spans="1:1" ht="15.75" customHeight="1" x14ac:dyDescent="0.25">
      <c r="A178" s="7"/>
    </row>
    <row r="179" spans="1:1" ht="15.75" customHeight="1" x14ac:dyDescent="0.25">
      <c r="A179" s="7"/>
    </row>
    <row r="180" spans="1:1" ht="15.75" customHeight="1" x14ac:dyDescent="0.25">
      <c r="A180" s="7"/>
    </row>
    <row r="181" spans="1:1" ht="15.75" customHeight="1" x14ac:dyDescent="0.25">
      <c r="A181" s="7"/>
    </row>
    <row r="182" spans="1:1" ht="15.75" customHeight="1" x14ac:dyDescent="0.25">
      <c r="A182" s="7"/>
    </row>
    <row r="183" spans="1:1" ht="15.75" customHeight="1" x14ac:dyDescent="0.25">
      <c r="A183" s="7"/>
    </row>
    <row r="184" spans="1:1" ht="15.75" customHeight="1" x14ac:dyDescent="0.25">
      <c r="A184" s="7"/>
    </row>
    <row r="185" spans="1:1" ht="15.75" customHeight="1" x14ac:dyDescent="0.25">
      <c r="A185" s="7"/>
    </row>
    <row r="186" spans="1:1" ht="15.75" customHeight="1" x14ac:dyDescent="0.25">
      <c r="A186" s="7"/>
    </row>
    <row r="187" spans="1:1" ht="15.75" customHeight="1" x14ac:dyDescent="0.25">
      <c r="A187" s="7"/>
    </row>
    <row r="188" spans="1:1" ht="15.75" customHeight="1" x14ac:dyDescent="0.25">
      <c r="A188" s="7"/>
    </row>
    <row r="189" spans="1:1" ht="15.75" customHeight="1" x14ac:dyDescent="0.25">
      <c r="A189" s="7"/>
    </row>
    <row r="190" spans="1:1" ht="15.75" customHeight="1" x14ac:dyDescent="0.25">
      <c r="A190" s="7"/>
    </row>
    <row r="191" spans="1:1" ht="15.75" customHeight="1" x14ac:dyDescent="0.25">
      <c r="A191" s="7"/>
    </row>
    <row r="192" spans="1:1" ht="15.75" customHeight="1" x14ac:dyDescent="0.25">
      <c r="A192" s="7"/>
    </row>
    <row r="193" spans="1:1" ht="15.75" customHeight="1" x14ac:dyDescent="0.25">
      <c r="A193" s="7"/>
    </row>
    <row r="194" spans="1:1" ht="15.75" customHeight="1" x14ac:dyDescent="0.25">
      <c r="A194" s="7"/>
    </row>
    <row r="195" spans="1:1" ht="15.75" customHeight="1" x14ac:dyDescent="0.25">
      <c r="A195" s="7"/>
    </row>
    <row r="196" spans="1:1" ht="15.75" customHeight="1" x14ac:dyDescent="0.25">
      <c r="A196" s="7"/>
    </row>
    <row r="197" spans="1:1" ht="15.75" customHeight="1" x14ac:dyDescent="0.25">
      <c r="A197" s="7"/>
    </row>
    <row r="198" spans="1:1" ht="15.75" customHeight="1" x14ac:dyDescent="0.25">
      <c r="A198" s="7"/>
    </row>
    <row r="199" spans="1:1" ht="15.75" customHeight="1" x14ac:dyDescent="0.25">
      <c r="A199" s="7"/>
    </row>
    <row r="200" spans="1:1" ht="15.75" customHeight="1" x14ac:dyDescent="0.25">
      <c r="A200" s="7"/>
    </row>
    <row r="201" spans="1:1" ht="15.75" customHeight="1" x14ac:dyDescent="0.25">
      <c r="A201" s="7"/>
    </row>
    <row r="202" spans="1:1" ht="15.75" customHeight="1" x14ac:dyDescent="0.25">
      <c r="A202" s="7"/>
    </row>
    <row r="203" spans="1:1" ht="15.75" customHeight="1" x14ac:dyDescent="0.25">
      <c r="A203" s="7"/>
    </row>
    <row r="204" spans="1:1" ht="15.75" customHeight="1" x14ac:dyDescent="0.25">
      <c r="A204" s="7"/>
    </row>
    <row r="205" spans="1:1" ht="15.75" customHeight="1" x14ac:dyDescent="0.25">
      <c r="A205" s="7"/>
    </row>
    <row r="206" spans="1:1" ht="15.75" customHeight="1" x14ac:dyDescent="0.25">
      <c r="A206" s="7"/>
    </row>
    <row r="207" spans="1:1" ht="15.75" customHeight="1" x14ac:dyDescent="0.25">
      <c r="A207" s="7"/>
    </row>
    <row r="208" spans="1:1" ht="15.75" customHeight="1" x14ac:dyDescent="0.25">
      <c r="A208" s="7"/>
    </row>
    <row r="209" spans="1:1" ht="15.75" customHeight="1" x14ac:dyDescent="0.25">
      <c r="A209" s="7"/>
    </row>
    <row r="210" spans="1:1" ht="15.75" customHeight="1" x14ac:dyDescent="0.25">
      <c r="A210" s="7"/>
    </row>
    <row r="211" spans="1:1" ht="15.75" customHeight="1" x14ac:dyDescent="0.25">
      <c r="A211" s="7"/>
    </row>
    <row r="212" spans="1:1" ht="15.75" customHeight="1" x14ac:dyDescent="0.25">
      <c r="A212" s="7"/>
    </row>
    <row r="213" spans="1:1" ht="15.75" customHeight="1" x14ac:dyDescent="0.25">
      <c r="A213" s="7"/>
    </row>
    <row r="214" spans="1:1" ht="15.75" customHeight="1" x14ac:dyDescent="0.25">
      <c r="A214" s="7"/>
    </row>
    <row r="215" spans="1:1" ht="15.75" customHeight="1" x14ac:dyDescent="0.25">
      <c r="A215" s="7"/>
    </row>
    <row r="216" spans="1:1" ht="15.75" customHeight="1" x14ac:dyDescent="0.25">
      <c r="A216" s="7"/>
    </row>
    <row r="217" spans="1:1" ht="15.75" customHeight="1" x14ac:dyDescent="0.25">
      <c r="A217" s="7"/>
    </row>
    <row r="218" spans="1:1" ht="15.75" customHeight="1" x14ac:dyDescent="0.25">
      <c r="A218" s="7"/>
    </row>
    <row r="219" spans="1:1" ht="15.75" customHeight="1" x14ac:dyDescent="0.25">
      <c r="A219" s="7"/>
    </row>
    <row r="220" spans="1:1" ht="15.75" customHeight="1" x14ac:dyDescent="0.25">
      <c r="A220" s="7"/>
    </row>
    <row r="221" spans="1:1" ht="15.75" customHeight="1" x14ac:dyDescent="0.25">
      <c r="A221" s="7"/>
    </row>
    <row r="222" spans="1:1" ht="15.75" customHeight="1" x14ac:dyDescent="0.25">
      <c r="A222" s="7"/>
    </row>
    <row r="223" spans="1:1" ht="15.75" customHeight="1" x14ac:dyDescent="0.25">
      <c r="A223" s="7"/>
    </row>
    <row r="224" spans="1:1" ht="15.75" customHeight="1" x14ac:dyDescent="0.25">
      <c r="A224" s="7"/>
    </row>
    <row r="225" spans="1:1" ht="15.75" customHeight="1" x14ac:dyDescent="0.25">
      <c r="A225" s="7"/>
    </row>
    <row r="226" spans="1:1" ht="15.75" customHeight="1" x14ac:dyDescent="0.25">
      <c r="A226" s="7"/>
    </row>
    <row r="227" spans="1:1" ht="15.75" customHeight="1" x14ac:dyDescent="0.25">
      <c r="A227" s="7"/>
    </row>
    <row r="228" spans="1:1" ht="15.75" customHeight="1" x14ac:dyDescent="0.25">
      <c r="A228" s="7"/>
    </row>
    <row r="229" spans="1:1" ht="15.75" customHeight="1" x14ac:dyDescent="0.25">
      <c r="A229" s="7"/>
    </row>
    <row r="230" spans="1:1" ht="15.75" customHeight="1" x14ac:dyDescent="0.25">
      <c r="A230" s="7"/>
    </row>
    <row r="231" spans="1:1" ht="15.75" customHeight="1" x14ac:dyDescent="0.25">
      <c r="A231" s="7"/>
    </row>
    <row r="232" spans="1:1" ht="15.75" customHeight="1" x14ac:dyDescent="0.25">
      <c r="A232" s="7"/>
    </row>
    <row r="233" spans="1:1" ht="15.75" customHeight="1" x14ac:dyDescent="0.25">
      <c r="A233" s="7"/>
    </row>
    <row r="234" spans="1:1" ht="15.75" customHeight="1" x14ac:dyDescent="0.25">
      <c r="A234" s="7"/>
    </row>
    <row r="235" spans="1:1" ht="15.75" customHeight="1" x14ac:dyDescent="0.25">
      <c r="A235" s="7"/>
    </row>
    <row r="236" spans="1:1" ht="15.75" customHeight="1" x14ac:dyDescent="0.25">
      <c r="A236" s="7"/>
    </row>
    <row r="237" spans="1:1" ht="15.75" customHeight="1" x14ac:dyDescent="0.25">
      <c r="A237" s="7"/>
    </row>
    <row r="238" spans="1:1" ht="15.75" customHeight="1" x14ac:dyDescent="0.25">
      <c r="A238" s="7"/>
    </row>
    <row r="239" spans="1:1" ht="15.75" customHeight="1" x14ac:dyDescent="0.25">
      <c r="A239" s="7"/>
    </row>
    <row r="240" spans="1:1" ht="15.75" customHeight="1" x14ac:dyDescent="0.25">
      <c r="A240" s="7"/>
    </row>
    <row r="241" spans="1:1" ht="15.75" customHeight="1" x14ac:dyDescent="0.25">
      <c r="A241" s="7"/>
    </row>
    <row r="242" spans="1:1" ht="15.75" customHeight="1" x14ac:dyDescent="0.25">
      <c r="A242" s="7"/>
    </row>
    <row r="243" spans="1:1" ht="15.75" customHeight="1" x14ac:dyDescent="0.25">
      <c r="A243" s="7"/>
    </row>
    <row r="244" spans="1:1" ht="15.75" customHeight="1" x14ac:dyDescent="0.25">
      <c r="A244" s="7"/>
    </row>
    <row r="245" spans="1:1" ht="15.75" customHeight="1" x14ac:dyDescent="0.25">
      <c r="A245" s="7"/>
    </row>
    <row r="246" spans="1:1" ht="15.75" customHeight="1" x14ac:dyDescent="0.25">
      <c r="A246" s="7"/>
    </row>
    <row r="247" spans="1:1" ht="15.75" customHeight="1" x14ac:dyDescent="0.25">
      <c r="A247" s="7"/>
    </row>
    <row r="248" spans="1:1" ht="15.75" customHeight="1" x14ac:dyDescent="0.25">
      <c r="A248" s="7"/>
    </row>
    <row r="249" spans="1:1" ht="15.75" customHeight="1" x14ac:dyDescent="0.25">
      <c r="A249" s="7"/>
    </row>
    <row r="250" spans="1:1" ht="15.75" customHeight="1" x14ac:dyDescent="0.25">
      <c r="A250" s="7"/>
    </row>
    <row r="251" spans="1:1" ht="15.75" customHeight="1" x14ac:dyDescent="0.25">
      <c r="A251" s="7"/>
    </row>
    <row r="252" spans="1:1" ht="15.75" customHeight="1" x14ac:dyDescent="0.25">
      <c r="A252" s="7"/>
    </row>
    <row r="253" spans="1:1" ht="15.75" customHeight="1" x14ac:dyDescent="0.25">
      <c r="A253" s="7"/>
    </row>
    <row r="254" spans="1:1" ht="15.75" customHeight="1" x14ac:dyDescent="0.25">
      <c r="A254" s="7"/>
    </row>
    <row r="255" spans="1:1" ht="15.75" customHeight="1" x14ac:dyDescent="0.25">
      <c r="A255" s="7"/>
    </row>
    <row r="256" spans="1:1" ht="15.75" customHeight="1" x14ac:dyDescent="0.25">
      <c r="A256" s="7"/>
    </row>
    <row r="257" spans="1:1" ht="15.75" customHeight="1" x14ac:dyDescent="0.25">
      <c r="A257" s="7"/>
    </row>
    <row r="258" spans="1:1" ht="15.75" customHeight="1" x14ac:dyDescent="0.25">
      <c r="A258" s="7"/>
    </row>
    <row r="259" spans="1:1" ht="15.75" customHeight="1" x14ac:dyDescent="0.25">
      <c r="A259" s="7"/>
    </row>
    <row r="260" spans="1:1" ht="15.75" customHeight="1" x14ac:dyDescent="0.25">
      <c r="A260" s="7"/>
    </row>
    <row r="261" spans="1:1" ht="15.75" customHeight="1" x14ac:dyDescent="0.25">
      <c r="A261" s="7"/>
    </row>
    <row r="262" spans="1:1" ht="15.75" customHeight="1" x14ac:dyDescent="0.25">
      <c r="A262" s="7"/>
    </row>
    <row r="263" spans="1:1" ht="15.75" customHeight="1" x14ac:dyDescent="0.25">
      <c r="A263" s="7"/>
    </row>
    <row r="264" spans="1:1" ht="15.75" customHeight="1" x14ac:dyDescent="0.25">
      <c r="A264" s="7"/>
    </row>
    <row r="265" spans="1:1" ht="15.75" customHeight="1" x14ac:dyDescent="0.25">
      <c r="A265" s="7"/>
    </row>
    <row r="266" spans="1:1" ht="15.75" customHeight="1" x14ac:dyDescent="0.25">
      <c r="A266" s="7"/>
    </row>
    <row r="267" spans="1:1" ht="15.75" customHeight="1" x14ac:dyDescent="0.25">
      <c r="A267" s="7"/>
    </row>
    <row r="268" spans="1:1" ht="15.75" customHeight="1" x14ac:dyDescent="0.25">
      <c r="A268" s="7"/>
    </row>
    <row r="269" spans="1:1" ht="15.75" customHeight="1" x14ac:dyDescent="0.25">
      <c r="A269" s="7"/>
    </row>
    <row r="270" spans="1:1" ht="15.75" customHeight="1" x14ac:dyDescent="0.25">
      <c r="A270" s="7"/>
    </row>
    <row r="271" spans="1:1" ht="15.75" customHeight="1" x14ac:dyDescent="0.25">
      <c r="A271" s="7"/>
    </row>
    <row r="272" spans="1:1" ht="15.75" customHeight="1" x14ac:dyDescent="0.25">
      <c r="A272" s="7"/>
    </row>
    <row r="273" spans="1:1" ht="15.75" customHeight="1" x14ac:dyDescent="0.25">
      <c r="A273" s="7"/>
    </row>
    <row r="274" spans="1:1" ht="15.75" customHeight="1" x14ac:dyDescent="0.25">
      <c r="A274" s="7"/>
    </row>
    <row r="275" spans="1:1" ht="15.75" customHeight="1" x14ac:dyDescent="0.25">
      <c r="A275" s="7"/>
    </row>
    <row r="276" spans="1:1" ht="15.75" customHeight="1" x14ac:dyDescent="0.25">
      <c r="A276" s="7"/>
    </row>
    <row r="277" spans="1:1" ht="15.75" customHeight="1" x14ac:dyDescent="0.25">
      <c r="A277" s="7"/>
    </row>
    <row r="278" spans="1:1" ht="15.75" customHeight="1" x14ac:dyDescent="0.25">
      <c r="A278" s="7"/>
    </row>
    <row r="279" spans="1:1" ht="15.75" customHeight="1" x14ac:dyDescent="0.25">
      <c r="A279" s="7"/>
    </row>
    <row r="280" spans="1:1" ht="15.75" customHeight="1" x14ac:dyDescent="0.25">
      <c r="A280" s="7"/>
    </row>
    <row r="281" spans="1:1" ht="15.75" customHeight="1" x14ac:dyDescent="0.25">
      <c r="A281" s="7"/>
    </row>
    <row r="282" spans="1:1" ht="15.75" customHeight="1" x14ac:dyDescent="0.25">
      <c r="A282" s="7"/>
    </row>
    <row r="283" spans="1:1" ht="15.75" customHeight="1" x14ac:dyDescent="0.25">
      <c r="A283" s="7"/>
    </row>
    <row r="284" spans="1:1" ht="15.75" customHeight="1" x14ac:dyDescent="0.25">
      <c r="A284" s="7"/>
    </row>
    <row r="285" spans="1:1" ht="15.75" customHeight="1" x14ac:dyDescent="0.25">
      <c r="A285" s="7"/>
    </row>
    <row r="286" spans="1:1" ht="15.75" customHeight="1" x14ac:dyDescent="0.25">
      <c r="A286" s="7"/>
    </row>
    <row r="287" spans="1:1" ht="15.75" customHeight="1" x14ac:dyDescent="0.25">
      <c r="A287" s="7"/>
    </row>
    <row r="288" spans="1:1" ht="15.75" customHeight="1" x14ac:dyDescent="0.25">
      <c r="A288" s="7"/>
    </row>
    <row r="289" spans="1:1" ht="15.75" customHeight="1" x14ac:dyDescent="0.25">
      <c r="A289" s="7"/>
    </row>
    <row r="290" spans="1:1" ht="15.75" customHeight="1" x14ac:dyDescent="0.25">
      <c r="A290" s="7"/>
    </row>
    <row r="291" spans="1:1" ht="15.75" customHeight="1" x14ac:dyDescent="0.25">
      <c r="A291" s="7"/>
    </row>
    <row r="292" spans="1:1" ht="15.75" customHeight="1" x14ac:dyDescent="0.25">
      <c r="A292" s="7"/>
    </row>
    <row r="293" spans="1:1" ht="15.75" customHeight="1" x14ac:dyDescent="0.25">
      <c r="A293" s="7"/>
    </row>
    <row r="294" spans="1:1" ht="15.75" customHeight="1" x14ac:dyDescent="0.25">
      <c r="A294" s="7"/>
    </row>
    <row r="295" spans="1:1" ht="15.75" customHeight="1" x14ac:dyDescent="0.25">
      <c r="A295" s="7"/>
    </row>
    <row r="296" spans="1:1" ht="15.75" customHeight="1" x14ac:dyDescent="0.25">
      <c r="A296" s="7"/>
    </row>
    <row r="297" spans="1:1" ht="15.75" customHeight="1" x14ac:dyDescent="0.25">
      <c r="A297" s="7"/>
    </row>
    <row r="298" spans="1:1" ht="15.75" customHeight="1" x14ac:dyDescent="0.25">
      <c r="A298" s="7"/>
    </row>
    <row r="299" spans="1:1" ht="15.75" customHeight="1" x14ac:dyDescent="0.25">
      <c r="A299" s="7"/>
    </row>
    <row r="300" spans="1:1" ht="15.75" customHeight="1" x14ac:dyDescent="0.25">
      <c r="A300" s="7"/>
    </row>
    <row r="301" spans="1:1" ht="15.75" customHeight="1" x14ac:dyDescent="0.25">
      <c r="A301" s="7"/>
    </row>
    <row r="302" spans="1:1" ht="15.75" customHeight="1" x14ac:dyDescent="0.25">
      <c r="A302" s="7"/>
    </row>
    <row r="303" spans="1:1" ht="15.75" customHeight="1" x14ac:dyDescent="0.25">
      <c r="A303" s="7"/>
    </row>
    <row r="304" spans="1:1" ht="15.75" customHeight="1" x14ac:dyDescent="0.25">
      <c r="A304" s="7"/>
    </row>
    <row r="305" spans="1:1" ht="15.75" customHeight="1" x14ac:dyDescent="0.25">
      <c r="A305" s="7"/>
    </row>
    <row r="306" spans="1:1" ht="15.75" customHeight="1" x14ac:dyDescent="0.25">
      <c r="A306" s="7"/>
    </row>
    <row r="307" spans="1:1" ht="15.75" customHeight="1" x14ac:dyDescent="0.25">
      <c r="A307" s="7"/>
    </row>
    <row r="308" spans="1:1" ht="15.75" customHeight="1" x14ac:dyDescent="0.25">
      <c r="A308" s="7"/>
    </row>
    <row r="309" spans="1:1" ht="15.75" customHeight="1" x14ac:dyDescent="0.25">
      <c r="A309" s="7"/>
    </row>
    <row r="310" spans="1:1" ht="15.75" customHeight="1" x14ac:dyDescent="0.25">
      <c r="A310" s="7"/>
    </row>
    <row r="311" spans="1:1" ht="15.75" customHeight="1" x14ac:dyDescent="0.25">
      <c r="A311" s="7"/>
    </row>
    <row r="312" spans="1:1" ht="15.75" customHeight="1" x14ac:dyDescent="0.25">
      <c r="A312" s="7"/>
    </row>
    <row r="313" spans="1:1" ht="15.75" customHeight="1" x14ac:dyDescent="0.25">
      <c r="A313" s="7"/>
    </row>
    <row r="314" spans="1:1" ht="15.75" customHeight="1" x14ac:dyDescent="0.25">
      <c r="A314" s="7"/>
    </row>
    <row r="315" spans="1:1" ht="15.75" customHeight="1" x14ac:dyDescent="0.25">
      <c r="A315" s="7"/>
    </row>
    <row r="316" spans="1:1" ht="15.75" customHeight="1" x14ac:dyDescent="0.25">
      <c r="A316" s="7"/>
    </row>
    <row r="317" spans="1:1" ht="15.75" customHeight="1" x14ac:dyDescent="0.25">
      <c r="A317" s="7"/>
    </row>
    <row r="318" spans="1:1" ht="15.75" customHeight="1" x14ac:dyDescent="0.25">
      <c r="A318" s="7"/>
    </row>
    <row r="319" spans="1:1" ht="15.75" customHeight="1" x14ac:dyDescent="0.25">
      <c r="A319" s="7"/>
    </row>
    <row r="320" spans="1:1" ht="15.75" customHeight="1" x14ac:dyDescent="0.25">
      <c r="A320" s="7"/>
    </row>
    <row r="321" spans="1:1" ht="15.75" customHeight="1" x14ac:dyDescent="0.25">
      <c r="A321" s="7"/>
    </row>
    <row r="322" spans="1:1" ht="15.75" customHeight="1" x14ac:dyDescent="0.25">
      <c r="A322" s="7"/>
    </row>
    <row r="323" spans="1:1" ht="15.75" customHeight="1" x14ac:dyDescent="0.25">
      <c r="A323" s="7"/>
    </row>
    <row r="324" spans="1:1" ht="15.75" customHeight="1" x14ac:dyDescent="0.25">
      <c r="A324" s="7"/>
    </row>
    <row r="325" spans="1:1" ht="15.75" customHeight="1" x14ac:dyDescent="0.25">
      <c r="A325" s="7"/>
    </row>
    <row r="326" spans="1:1" ht="15.75" customHeight="1" x14ac:dyDescent="0.25">
      <c r="A326" s="7"/>
    </row>
    <row r="327" spans="1:1" ht="15.75" customHeight="1" x14ac:dyDescent="0.25">
      <c r="A327" s="7"/>
    </row>
    <row r="328" spans="1:1" ht="15.75" customHeight="1" x14ac:dyDescent="0.25">
      <c r="A328" s="7"/>
    </row>
    <row r="329" spans="1:1" ht="15.75" customHeight="1" x14ac:dyDescent="0.25">
      <c r="A329" s="7"/>
    </row>
    <row r="330" spans="1:1" ht="15.75" customHeight="1" x14ac:dyDescent="0.25">
      <c r="A330" s="7"/>
    </row>
    <row r="331" spans="1:1" ht="15.75" customHeight="1" x14ac:dyDescent="0.25">
      <c r="A331" s="7"/>
    </row>
    <row r="332" spans="1:1" ht="15.75" customHeight="1" x14ac:dyDescent="0.25">
      <c r="A332" s="7"/>
    </row>
    <row r="333" spans="1:1" ht="15.75" customHeight="1" x14ac:dyDescent="0.25">
      <c r="A333" s="7"/>
    </row>
    <row r="334" spans="1:1" ht="15.75" customHeight="1" x14ac:dyDescent="0.25">
      <c r="A334" s="7"/>
    </row>
    <row r="335" spans="1:1" ht="15.75" customHeight="1" x14ac:dyDescent="0.25">
      <c r="A335" s="7"/>
    </row>
    <row r="336" spans="1:1" ht="15.75" customHeight="1" x14ac:dyDescent="0.25">
      <c r="A336" s="7"/>
    </row>
    <row r="337" spans="1:1" ht="15.75" customHeight="1" x14ac:dyDescent="0.25">
      <c r="A337" s="7"/>
    </row>
    <row r="338" spans="1:1" ht="15.75" customHeight="1" x14ac:dyDescent="0.25">
      <c r="A338" s="7"/>
    </row>
    <row r="339" spans="1:1" ht="15.75" customHeight="1" x14ac:dyDescent="0.25">
      <c r="A339" s="7"/>
    </row>
    <row r="340" spans="1:1" ht="15.75" customHeight="1" x14ac:dyDescent="0.25">
      <c r="A340" s="7"/>
    </row>
    <row r="341" spans="1:1" ht="15.75" customHeight="1" x14ac:dyDescent="0.25">
      <c r="A341" s="7"/>
    </row>
    <row r="342" spans="1:1" ht="15.75" customHeight="1" x14ac:dyDescent="0.25">
      <c r="A342" s="7"/>
    </row>
    <row r="343" spans="1:1" ht="15.75" customHeight="1" x14ac:dyDescent="0.25">
      <c r="A343" s="7"/>
    </row>
    <row r="344" spans="1:1" ht="15.75" customHeight="1" x14ac:dyDescent="0.25">
      <c r="A344" s="7"/>
    </row>
    <row r="345" spans="1:1" ht="15.75" customHeight="1" x14ac:dyDescent="0.25">
      <c r="A345" s="7"/>
    </row>
    <row r="346" spans="1:1" ht="15.75" customHeight="1" x14ac:dyDescent="0.25">
      <c r="A346" s="7"/>
    </row>
    <row r="347" spans="1:1" ht="15.75" customHeight="1" x14ac:dyDescent="0.25">
      <c r="A347" s="7"/>
    </row>
    <row r="348" spans="1:1" ht="15.75" customHeight="1" x14ac:dyDescent="0.25">
      <c r="A348" s="7"/>
    </row>
    <row r="349" spans="1:1" ht="15.75" customHeight="1" x14ac:dyDescent="0.25">
      <c r="A349" s="7"/>
    </row>
    <row r="350" spans="1:1" ht="15.75" customHeight="1" x14ac:dyDescent="0.25">
      <c r="A350" s="7"/>
    </row>
    <row r="351" spans="1:1" ht="15.75" customHeight="1" x14ac:dyDescent="0.25">
      <c r="A351" s="7"/>
    </row>
    <row r="352" spans="1:1" ht="15.75" customHeight="1" x14ac:dyDescent="0.25">
      <c r="A352" s="7"/>
    </row>
    <row r="353" spans="1:1" ht="15.75" customHeight="1" x14ac:dyDescent="0.25">
      <c r="A353" s="7"/>
    </row>
    <row r="354" spans="1:1" ht="15.75" customHeight="1" x14ac:dyDescent="0.25">
      <c r="A354" s="7"/>
    </row>
    <row r="355" spans="1:1" ht="15.75" customHeight="1" x14ac:dyDescent="0.25">
      <c r="A355" s="7"/>
    </row>
    <row r="356" spans="1:1" ht="15.75" customHeight="1" x14ac:dyDescent="0.25">
      <c r="A356" s="7"/>
    </row>
    <row r="357" spans="1:1" ht="15.75" customHeight="1" x14ac:dyDescent="0.25">
      <c r="A357" s="7"/>
    </row>
    <row r="358" spans="1:1" ht="15.75" customHeight="1" x14ac:dyDescent="0.25">
      <c r="A358" s="7"/>
    </row>
    <row r="359" spans="1:1" ht="15.75" customHeight="1" x14ac:dyDescent="0.25">
      <c r="A359" s="7"/>
    </row>
    <row r="360" spans="1:1" ht="15.75" customHeight="1" x14ac:dyDescent="0.25">
      <c r="A360" s="7"/>
    </row>
    <row r="361" spans="1:1" ht="15.75" customHeight="1" x14ac:dyDescent="0.25">
      <c r="A361" s="7"/>
    </row>
    <row r="362" spans="1:1" ht="15.75" customHeight="1" x14ac:dyDescent="0.25">
      <c r="A362" s="7"/>
    </row>
    <row r="363" spans="1:1" ht="15.75" customHeight="1" x14ac:dyDescent="0.25">
      <c r="A363" s="7"/>
    </row>
    <row r="364" spans="1:1" ht="15.75" customHeight="1" x14ac:dyDescent="0.25">
      <c r="A364" s="7"/>
    </row>
    <row r="365" spans="1:1" ht="15.75" customHeight="1" x14ac:dyDescent="0.25">
      <c r="A365" s="7"/>
    </row>
    <row r="366" spans="1:1" ht="15.75" customHeight="1" x14ac:dyDescent="0.25">
      <c r="A366" s="7"/>
    </row>
    <row r="367" spans="1:1" ht="15.75" customHeight="1" x14ac:dyDescent="0.25">
      <c r="A367" s="7"/>
    </row>
    <row r="368" spans="1:1" ht="15.75" customHeight="1" x14ac:dyDescent="0.25">
      <c r="A368" s="7"/>
    </row>
    <row r="369" spans="1:1" ht="15.75" customHeight="1" x14ac:dyDescent="0.25">
      <c r="A369" s="7"/>
    </row>
    <row r="370" spans="1:1" ht="15.75" customHeight="1" x14ac:dyDescent="0.25">
      <c r="A370" s="7"/>
    </row>
    <row r="371" spans="1:1" ht="15.75" customHeight="1" x14ac:dyDescent="0.25">
      <c r="A371" s="7"/>
    </row>
    <row r="372" spans="1:1" ht="15.75" customHeight="1" x14ac:dyDescent="0.25">
      <c r="A372" s="7"/>
    </row>
    <row r="373" spans="1:1" ht="15.75" customHeight="1" x14ac:dyDescent="0.25">
      <c r="A373" s="7"/>
    </row>
    <row r="374" spans="1:1" ht="15.75" customHeight="1" x14ac:dyDescent="0.25">
      <c r="A374" s="7"/>
    </row>
    <row r="375" spans="1:1" ht="15.75" customHeight="1" x14ac:dyDescent="0.25">
      <c r="A375" s="7"/>
    </row>
    <row r="376" spans="1:1" ht="15.75" customHeight="1" x14ac:dyDescent="0.25">
      <c r="A376" s="7"/>
    </row>
    <row r="377" spans="1:1" ht="15.75" customHeight="1" x14ac:dyDescent="0.25">
      <c r="A377" s="7"/>
    </row>
    <row r="378" spans="1:1" ht="15.75" customHeight="1" x14ac:dyDescent="0.25">
      <c r="A378" s="7"/>
    </row>
    <row r="379" spans="1:1" ht="15.75" customHeight="1" x14ac:dyDescent="0.25">
      <c r="A379" s="7"/>
    </row>
    <row r="380" spans="1:1" ht="15.75" customHeight="1" x14ac:dyDescent="0.25">
      <c r="A380" s="7"/>
    </row>
    <row r="381" spans="1:1" ht="15.75" customHeight="1" x14ac:dyDescent="0.25">
      <c r="A381" s="7"/>
    </row>
    <row r="382" spans="1:1" ht="15.75" customHeight="1" x14ac:dyDescent="0.25">
      <c r="A382" s="7"/>
    </row>
    <row r="383" spans="1:1" ht="15.75" customHeight="1" x14ac:dyDescent="0.25">
      <c r="A383" s="7"/>
    </row>
    <row r="384" spans="1:1" ht="15.75" customHeight="1" x14ac:dyDescent="0.25">
      <c r="A384" s="7"/>
    </row>
    <row r="385" spans="1:1" ht="15.75" customHeight="1" x14ac:dyDescent="0.25">
      <c r="A385" s="7"/>
    </row>
    <row r="386" spans="1:1" ht="15.75" customHeight="1" x14ac:dyDescent="0.25">
      <c r="A386" s="7"/>
    </row>
    <row r="387" spans="1:1" ht="15.75" customHeight="1" x14ac:dyDescent="0.25">
      <c r="A387" s="7"/>
    </row>
    <row r="388" spans="1:1" ht="15.75" customHeight="1" x14ac:dyDescent="0.25">
      <c r="A388" s="7"/>
    </row>
    <row r="389" spans="1:1" ht="15.75" customHeight="1" x14ac:dyDescent="0.25">
      <c r="A389" s="7"/>
    </row>
    <row r="390" spans="1:1" ht="15.75" customHeight="1" x14ac:dyDescent="0.25">
      <c r="A390" s="7"/>
    </row>
    <row r="391" spans="1:1" ht="15.75" customHeight="1" x14ac:dyDescent="0.25">
      <c r="A391" s="7"/>
    </row>
    <row r="392" spans="1:1" ht="15.75" customHeight="1" x14ac:dyDescent="0.25">
      <c r="A392" s="7"/>
    </row>
    <row r="393" spans="1:1" ht="15.75" customHeight="1" x14ac:dyDescent="0.25">
      <c r="A393" s="7"/>
    </row>
    <row r="394" spans="1:1" ht="15.75" customHeight="1" x14ac:dyDescent="0.25">
      <c r="A394" s="7"/>
    </row>
    <row r="395" spans="1:1" ht="15.75" customHeight="1" x14ac:dyDescent="0.25">
      <c r="A395" s="7"/>
    </row>
    <row r="396" spans="1:1" ht="15.75" customHeight="1" x14ac:dyDescent="0.25">
      <c r="A396" s="7"/>
    </row>
    <row r="397" spans="1:1" ht="15.75" customHeight="1" x14ac:dyDescent="0.25">
      <c r="A397" s="7"/>
    </row>
    <row r="398" spans="1:1" ht="15.75" customHeight="1" x14ac:dyDescent="0.25">
      <c r="A398" s="7"/>
    </row>
    <row r="399" spans="1:1" ht="15.75" customHeight="1" x14ac:dyDescent="0.25">
      <c r="A399" s="7"/>
    </row>
    <row r="400" spans="1:1" ht="15.75" customHeight="1" x14ac:dyDescent="0.25">
      <c r="A400" s="7"/>
    </row>
    <row r="401" spans="1:1" ht="15.75" customHeight="1" x14ac:dyDescent="0.25">
      <c r="A401" s="7"/>
    </row>
    <row r="402" spans="1:1" ht="15.75" customHeight="1" x14ac:dyDescent="0.25">
      <c r="A402" s="7"/>
    </row>
    <row r="403" spans="1:1" ht="15.75" customHeight="1" x14ac:dyDescent="0.25">
      <c r="A403" s="7"/>
    </row>
    <row r="404" spans="1:1" ht="15.75" customHeight="1" x14ac:dyDescent="0.25">
      <c r="A404" s="7"/>
    </row>
    <row r="405" spans="1:1" ht="15.75" customHeight="1" x14ac:dyDescent="0.25">
      <c r="A405" s="7"/>
    </row>
    <row r="406" spans="1:1" ht="15.75" customHeight="1" x14ac:dyDescent="0.25">
      <c r="A406" s="7"/>
    </row>
    <row r="407" spans="1:1" ht="15.75" customHeight="1" x14ac:dyDescent="0.25">
      <c r="A407" s="7"/>
    </row>
    <row r="408" spans="1:1" ht="15.75" customHeight="1" x14ac:dyDescent="0.25">
      <c r="A408" s="7"/>
    </row>
    <row r="409" spans="1:1" ht="15.75" customHeight="1" x14ac:dyDescent="0.25">
      <c r="A409" s="7"/>
    </row>
    <row r="410" spans="1:1" ht="15.75" customHeight="1" x14ac:dyDescent="0.25">
      <c r="A410" s="7"/>
    </row>
    <row r="411" spans="1:1" ht="15.75" customHeight="1" x14ac:dyDescent="0.25">
      <c r="A411" s="7"/>
    </row>
    <row r="412" spans="1:1" ht="15.75" customHeight="1" x14ac:dyDescent="0.25">
      <c r="A412" s="7"/>
    </row>
    <row r="413" spans="1:1" ht="15.75" customHeight="1" x14ac:dyDescent="0.25">
      <c r="A413" s="7"/>
    </row>
    <row r="414" spans="1:1" ht="15.75" customHeight="1" x14ac:dyDescent="0.25">
      <c r="A414" s="7"/>
    </row>
    <row r="415" spans="1:1" ht="15.75" customHeight="1" x14ac:dyDescent="0.25">
      <c r="A415" s="7"/>
    </row>
    <row r="416" spans="1:1" ht="15.75" customHeight="1" x14ac:dyDescent="0.25">
      <c r="A416" s="7"/>
    </row>
    <row r="417" spans="1:1" ht="15.75" customHeight="1" x14ac:dyDescent="0.25">
      <c r="A417" s="7"/>
    </row>
    <row r="418" spans="1:1" ht="15.75" customHeight="1" x14ac:dyDescent="0.25">
      <c r="A418" s="7"/>
    </row>
    <row r="419" spans="1:1" ht="15.75" customHeight="1" x14ac:dyDescent="0.25">
      <c r="A419" s="7"/>
    </row>
    <row r="420" spans="1:1" ht="15.75" customHeight="1" x14ac:dyDescent="0.25">
      <c r="A420" s="7"/>
    </row>
    <row r="421" spans="1:1" ht="15.75" customHeight="1" x14ac:dyDescent="0.25">
      <c r="A421" s="7"/>
    </row>
    <row r="422" spans="1:1" ht="15.75" customHeight="1" x14ac:dyDescent="0.25">
      <c r="A422" s="7"/>
    </row>
    <row r="423" spans="1:1" ht="15.75" customHeight="1" x14ac:dyDescent="0.25">
      <c r="A423" s="7"/>
    </row>
    <row r="424" spans="1:1" ht="15.75" customHeight="1" x14ac:dyDescent="0.25">
      <c r="A424" s="7"/>
    </row>
    <row r="425" spans="1:1" ht="15.75" customHeight="1" x14ac:dyDescent="0.25">
      <c r="A425" s="7"/>
    </row>
    <row r="426" spans="1:1" ht="15.75" customHeight="1" x14ac:dyDescent="0.25">
      <c r="A426" s="7"/>
    </row>
    <row r="427" spans="1:1" ht="15.75" customHeight="1" x14ac:dyDescent="0.25">
      <c r="A427" s="7"/>
    </row>
    <row r="428" spans="1:1" ht="15.75" customHeight="1" x14ac:dyDescent="0.25">
      <c r="A428" s="7"/>
    </row>
    <row r="429" spans="1:1" ht="15.75" customHeight="1" x14ac:dyDescent="0.25">
      <c r="A429" s="7"/>
    </row>
    <row r="430" spans="1:1" ht="15.75" customHeight="1" x14ac:dyDescent="0.25">
      <c r="A430" s="7"/>
    </row>
    <row r="431" spans="1:1" ht="15.75" customHeight="1" x14ac:dyDescent="0.25">
      <c r="A431" s="7"/>
    </row>
    <row r="432" spans="1:1" ht="15.75" customHeight="1" x14ac:dyDescent="0.25">
      <c r="A432" s="7"/>
    </row>
    <row r="433" spans="1:1" ht="15.75" customHeight="1" x14ac:dyDescent="0.25">
      <c r="A433" s="7"/>
    </row>
    <row r="434" spans="1:1" ht="15.75" customHeight="1" x14ac:dyDescent="0.25">
      <c r="A434" s="7"/>
    </row>
    <row r="435" spans="1:1" ht="15.75" customHeight="1" x14ac:dyDescent="0.25">
      <c r="A435" s="7"/>
    </row>
    <row r="436" spans="1:1" ht="15.75" customHeight="1" x14ac:dyDescent="0.25">
      <c r="A436" s="7"/>
    </row>
    <row r="437" spans="1:1" ht="15.75" customHeight="1" x14ac:dyDescent="0.25">
      <c r="A437" s="7"/>
    </row>
    <row r="438" spans="1:1" ht="15.75" customHeight="1" x14ac:dyDescent="0.25">
      <c r="A438" s="7"/>
    </row>
    <row r="439" spans="1:1" ht="15.75" customHeight="1" x14ac:dyDescent="0.25">
      <c r="A439" s="7"/>
    </row>
    <row r="440" spans="1:1" ht="15.75" customHeight="1" x14ac:dyDescent="0.25">
      <c r="A440" s="7"/>
    </row>
    <row r="441" spans="1:1" ht="15.75" customHeight="1" x14ac:dyDescent="0.25">
      <c r="A441" s="7"/>
    </row>
    <row r="442" spans="1:1" ht="15.75" customHeight="1" x14ac:dyDescent="0.25">
      <c r="A442" s="7"/>
    </row>
    <row r="443" spans="1:1" ht="15.75" customHeight="1" x14ac:dyDescent="0.25">
      <c r="A443" s="7"/>
    </row>
    <row r="444" spans="1:1" ht="15.75" customHeight="1" x14ac:dyDescent="0.25">
      <c r="A444" s="7"/>
    </row>
    <row r="445" spans="1:1" ht="15.75" customHeight="1" x14ac:dyDescent="0.25">
      <c r="A445" s="7"/>
    </row>
    <row r="446" spans="1:1" ht="15.75" customHeight="1" x14ac:dyDescent="0.25">
      <c r="A446" s="7"/>
    </row>
    <row r="447" spans="1:1" ht="15.75" customHeight="1" x14ac:dyDescent="0.25">
      <c r="A447" s="7"/>
    </row>
    <row r="448" spans="1:1" ht="15.75" customHeight="1" x14ac:dyDescent="0.25">
      <c r="A448" s="7"/>
    </row>
    <row r="449" spans="1:1" ht="15.75" customHeight="1" x14ac:dyDescent="0.25">
      <c r="A449" s="7"/>
    </row>
    <row r="450" spans="1:1" ht="15.75" customHeight="1" x14ac:dyDescent="0.25">
      <c r="A450" s="7"/>
    </row>
    <row r="451" spans="1:1" ht="15.75" customHeight="1" x14ac:dyDescent="0.25">
      <c r="A451" s="7"/>
    </row>
    <row r="452" spans="1:1" ht="15.75" customHeight="1" x14ac:dyDescent="0.25">
      <c r="A452" s="7"/>
    </row>
    <row r="453" spans="1:1" ht="15.75" customHeight="1" x14ac:dyDescent="0.25">
      <c r="A453" s="7"/>
    </row>
    <row r="454" spans="1:1" ht="15.75" customHeight="1" x14ac:dyDescent="0.25">
      <c r="A454" s="7"/>
    </row>
    <row r="455" spans="1:1" ht="15.75" customHeight="1" x14ac:dyDescent="0.25">
      <c r="A455" s="7"/>
    </row>
    <row r="456" spans="1:1" ht="15.75" customHeight="1" x14ac:dyDescent="0.25">
      <c r="A456" s="7"/>
    </row>
    <row r="457" spans="1:1" ht="15.75" customHeight="1" x14ac:dyDescent="0.25">
      <c r="A457" s="7"/>
    </row>
    <row r="458" spans="1:1" ht="15.75" customHeight="1" x14ac:dyDescent="0.25">
      <c r="A458" s="7"/>
    </row>
    <row r="459" spans="1:1" ht="15.75" customHeight="1" x14ac:dyDescent="0.25">
      <c r="A459" s="7"/>
    </row>
    <row r="460" spans="1:1" ht="15.75" customHeight="1" x14ac:dyDescent="0.25">
      <c r="A460" s="7"/>
    </row>
    <row r="461" spans="1:1" ht="15.75" customHeight="1" x14ac:dyDescent="0.25">
      <c r="A461" s="7"/>
    </row>
    <row r="462" spans="1:1" ht="15.75" customHeight="1" x14ac:dyDescent="0.25">
      <c r="A462" s="7"/>
    </row>
    <row r="463" spans="1:1" ht="15.75" customHeight="1" x14ac:dyDescent="0.25">
      <c r="A463" s="7"/>
    </row>
    <row r="464" spans="1:1" ht="15.75" customHeight="1" x14ac:dyDescent="0.25">
      <c r="A464" s="7"/>
    </row>
    <row r="465" spans="1:1" ht="15.75" customHeight="1" x14ac:dyDescent="0.25">
      <c r="A465" s="7"/>
    </row>
    <row r="466" spans="1:1" ht="15.75" customHeight="1" x14ac:dyDescent="0.25">
      <c r="A466" s="7"/>
    </row>
    <row r="467" spans="1:1" ht="15.75" customHeight="1" x14ac:dyDescent="0.25">
      <c r="A467" s="7"/>
    </row>
    <row r="468" spans="1:1" ht="15.75" customHeight="1" x14ac:dyDescent="0.25">
      <c r="A468" s="7"/>
    </row>
    <row r="469" spans="1:1" ht="15.75" customHeight="1" x14ac:dyDescent="0.25">
      <c r="A469" s="7"/>
    </row>
    <row r="470" spans="1:1" ht="15.75" customHeight="1" x14ac:dyDescent="0.25">
      <c r="A470" s="7"/>
    </row>
    <row r="471" spans="1:1" ht="15.75" customHeight="1" x14ac:dyDescent="0.25">
      <c r="A471" s="7"/>
    </row>
    <row r="472" spans="1:1" ht="15.75" customHeight="1" x14ac:dyDescent="0.25">
      <c r="A472" s="7"/>
    </row>
    <row r="473" spans="1:1" ht="15.75" customHeight="1" x14ac:dyDescent="0.25">
      <c r="A473" s="7"/>
    </row>
    <row r="474" spans="1:1" ht="15.75" customHeight="1" x14ac:dyDescent="0.25">
      <c r="A474" s="7"/>
    </row>
    <row r="475" spans="1:1" ht="15.75" customHeight="1" x14ac:dyDescent="0.25">
      <c r="A475" s="7"/>
    </row>
    <row r="476" spans="1:1" ht="15.75" customHeight="1" x14ac:dyDescent="0.25">
      <c r="A476" s="7"/>
    </row>
    <row r="477" spans="1:1" ht="15.75" customHeight="1" x14ac:dyDescent="0.25">
      <c r="A477" s="7"/>
    </row>
    <row r="478" spans="1:1" ht="15.75" customHeight="1" x14ac:dyDescent="0.25">
      <c r="A478" s="7"/>
    </row>
    <row r="479" spans="1:1" ht="15.75" customHeight="1" x14ac:dyDescent="0.25">
      <c r="A479" s="7"/>
    </row>
    <row r="480" spans="1:1" ht="15.75" customHeight="1" x14ac:dyDescent="0.25">
      <c r="A480" s="7"/>
    </row>
    <row r="481" spans="1:1" ht="15.75" customHeight="1" x14ac:dyDescent="0.25">
      <c r="A481" s="7"/>
    </row>
    <row r="482" spans="1:1" ht="15.75" customHeight="1" x14ac:dyDescent="0.25">
      <c r="A482" s="7"/>
    </row>
    <row r="483" spans="1:1" ht="15.75" customHeight="1" x14ac:dyDescent="0.25">
      <c r="A483" s="7"/>
    </row>
    <row r="484" spans="1:1" ht="15.75" customHeight="1" x14ac:dyDescent="0.25">
      <c r="A484" s="7"/>
    </row>
    <row r="485" spans="1:1" ht="15.75" customHeight="1" x14ac:dyDescent="0.25">
      <c r="A485" s="7"/>
    </row>
    <row r="486" spans="1:1" ht="15.75" customHeight="1" x14ac:dyDescent="0.25">
      <c r="A486" s="7"/>
    </row>
    <row r="487" spans="1:1" ht="15.75" customHeight="1" x14ac:dyDescent="0.25">
      <c r="A487" s="7"/>
    </row>
    <row r="488" spans="1:1" ht="15.75" customHeight="1" x14ac:dyDescent="0.25">
      <c r="A488" s="7"/>
    </row>
    <row r="489" spans="1:1" ht="15.75" customHeight="1" x14ac:dyDescent="0.25">
      <c r="A489" s="7"/>
    </row>
    <row r="490" spans="1:1" ht="15.75" customHeight="1" x14ac:dyDescent="0.25">
      <c r="A490" s="7"/>
    </row>
    <row r="491" spans="1:1" ht="15.75" customHeight="1" x14ac:dyDescent="0.25">
      <c r="A491" s="7"/>
    </row>
    <row r="492" spans="1:1" ht="15.75" customHeight="1" x14ac:dyDescent="0.25">
      <c r="A492" s="7"/>
    </row>
    <row r="493" spans="1:1" ht="15.75" customHeight="1" x14ac:dyDescent="0.25">
      <c r="A493" s="7"/>
    </row>
    <row r="494" spans="1:1" ht="15.75" customHeight="1" x14ac:dyDescent="0.25">
      <c r="A494" s="7"/>
    </row>
    <row r="495" spans="1:1" ht="15.75" customHeight="1" x14ac:dyDescent="0.25">
      <c r="A495" s="7"/>
    </row>
    <row r="496" spans="1:1" ht="15.75" customHeight="1" x14ac:dyDescent="0.25">
      <c r="A496" s="7"/>
    </row>
    <row r="497" spans="1:1" ht="15.75" customHeight="1" x14ac:dyDescent="0.25">
      <c r="A497" s="7"/>
    </row>
    <row r="498" spans="1:1" ht="15.75" customHeight="1" x14ac:dyDescent="0.25">
      <c r="A498" s="7"/>
    </row>
    <row r="499" spans="1:1" ht="15.75" customHeight="1" x14ac:dyDescent="0.25">
      <c r="A499" s="7"/>
    </row>
    <row r="500" spans="1:1" ht="15.75" customHeight="1" x14ac:dyDescent="0.25">
      <c r="A500" s="7"/>
    </row>
    <row r="501" spans="1:1" ht="15.75" customHeight="1" x14ac:dyDescent="0.25">
      <c r="A501" s="7"/>
    </row>
    <row r="502" spans="1:1" ht="15.75" customHeight="1" x14ac:dyDescent="0.25">
      <c r="A502" s="7"/>
    </row>
    <row r="503" spans="1:1" ht="15.75" customHeight="1" x14ac:dyDescent="0.25">
      <c r="A503" s="7"/>
    </row>
    <row r="504" spans="1:1" ht="15.75" customHeight="1" x14ac:dyDescent="0.25">
      <c r="A504" s="7"/>
    </row>
    <row r="505" spans="1:1" ht="15.75" customHeight="1" x14ac:dyDescent="0.25">
      <c r="A505" s="7"/>
    </row>
    <row r="506" spans="1:1" ht="15.75" customHeight="1" x14ac:dyDescent="0.25">
      <c r="A506" s="7"/>
    </row>
    <row r="507" spans="1:1" ht="15.75" customHeight="1" x14ac:dyDescent="0.25">
      <c r="A507" s="7"/>
    </row>
    <row r="508" spans="1:1" ht="15.75" customHeight="1" x14ac:dyDescent="0.25">
      <c r="A508" s="7"/>
    </row>
    <row r="509" spans="1:1" ht="15.75" customHeight="1" x14ac:dyDescent="0.25">
      <c r="A509" s="7"/>
    </row>
    <row r="510" spans="1:1" ht="15.75" customHeight="1" x14ac:dyDescent="0.25">
      <c r="A510" s="7"/>
    </row>
    <row r="511" spans="1:1" ht="15.75" customHeight="1" x14ac:dyDescent="0.25">
      <c r="A511" s="7"/>
    </row>
    <row r="512" spans="1:1" ht="15.75" customHeight="1" x14ac:dyDescent="0.25">
      <c r="A512" s="7"/>
    </row>
    <row r="513" spans="1:1" ht="15.75" customHeight="1" x14ac:dyDescent="0.25">
      <c r="A513" s="7"/>
    </row>
    <row r="514" spans="1:1" ht="15.75" customHeight="1" x14ac:dyDescent="0.25">
      <c r="A514" s="7"/>
    </row>
    <row r="515" spans="1:1" ht="15.75" customHeight="1" x14ac:dyDescent="0.25">
      <c r="A515" s="7"/>
    </row>
    <row r="516" spans="1:1" ht="15.75" customHeight="1" x14ac:dyDescent="0.25">
      <c r="A516" s="7"/>
    </row>
    <row r="517" spans="1:1" ht="15.75" customHeight="1" x14ac:dyDescent="0.25">
      <c r="A517" s="7"/>
    </row>
    <row r="518" spans="1:1" ht="15.75" customHeight="1" x14ac:dyDescent="0.25">
      <c r="A518" s="7"/>
    </row>
    <row r="519" spans="1:1" ht="15.75" customHeight="1" x14ac:dyDescent="0.25">
      <c r="A519" s="7"/>
    </row>
    <row r="520" spans="1:1" ht="15.75" customHeight="1" x14ac:dyDescent="0.25">
      <c r="A520" s="7"/>
    </row>
    <row r="521" spans="1:1" ht="15.75" customHeight="1" x14ac:dyDescent="0.25">
      <c r="A521" s="7"/>
    </row>
    <row r="522" spans="1:1" ht="15.75" customHeight="1" x14ac:dyDescent="0.25">
      <c r="A522" s="7"/>
    </row>
    <row r="523" spans="1:1" ht="15.75" customHeight="1" x14ac:dyDescent="0.25">
      <c r="A523" s="7"/>
    </row>
    <row r="524" spans="1:1" ht="15.75" customHeight="1" x14ac:dyDescent="0.25">
      <c r="A524" s="7"/>
    </row>
    <row r="525" spans="1:1" ht="15.75" customHeight="1" x14ac:dyDescent="0.25">
      <c r="A525" s="7"/>
    </row>
    <row r="526" spans="1:1" ht="15.75" customHeight="1" x14ac:dyDescent="0.25">
      <c r="A526" s="7"/>
    </row>
    <row r="527" spans="1:1" ht="15.75" customHeight="1" x14ac:dyDescent="0.25">
      <c r="A527" s="7"/>
    </row>
    <row r="528" spans="1:1" ht="15.75" customHeight="1" x14ac:dyDescent="0.25">
      <c r="A528" s="7"/>
    </row>
    <row r="529" spans="1:1" ht="15.75" customHeight="1" x14ac:dyDescent="0.25">
      <c r="A529" s="7"/>
    </row>
    <row r="530" spans="1:1" ht="15.75" customHeight="1" x14ac:dyDescent="0.25">
      <c r="A530" s="7"/>
    </row>
    <row r="531" spans="1:1" ht="15.75" customHeight="1" x14ac:dyDescent="0.25">
      <c r="A531" s="7"/>
    </row>
    <row r="532" spans="1:1" ht="15.75" customHeight="1" x14ac:dyDescent="0.25">
      <c r="A532" s="7"/>
    </row>
    <row r="533" spans="1:1" ht="15.75" customHeight="1" x14ac:dyDescent="0.25">
      <c r="A533" s="7"/>
    </row>
    <row r="534" spans="1:1" ht="15.75" customHeight="1" x14ac:dyDescent="0.25">
      <c r="A534" s="7"/>
    </row>
    <row r="535" spans="1:1" ht="15.75" customHeight="1" x14ac:dyDescent="0.25">
      <c r="A535" s="7"/>
    </row>
    <row r="536" spans="1:1" ht="15.75" customHeight="1" x14ac:dyDescent="0.25">
      <c r="A536" s="7"/>
    </row>
    <row r="537" spans="1:1" ht="15.75" customHeight="1" x14ac:dyDescent="0.25">
      <c r="A537" s="7"/>
    </row>
    <row r="538" spans="1:1" ht="15.75" customHeight="1" x14ac:dyDescent="0.25">
      <c r="A538" s="7"/>
    </row>
    <row r="539" spans="1:1" ht="15.75" customHeight="1" x14ac:dyDescent="0.25">
      <c r="A539" s="7"/>
    </row>
    <row r="540" spans="1:1" ht="15.75" customHeight="1" x14ac:dyDescent="0.25">
      <c r="A540" s="7"/>
    </row>
    <row r="541" spans="1:1" ht="15.75" customHeight="1" x14ac:dyDescent="0.25">
      <c r="A541" s="7"/>
    </row>
    <row r="542" spans="1:1" ht="15.75" customHeight="1" x14ac:dyDescent="0.25">
      <c r="A542" s="7"/>
    </row>
    <row r="543" spans="1:1" ht="15.75" customHeight="1" x14ac:dyDescent="0.25">
      <c r="A543" s="7"/>
    </row>
    <row r="544" spans="1:1" ht="15.75" customHeight="1" x14ac:dyDescent="0.25">
      <c r="A544" s="7"/>
    </row>
    <row r="545" spans="1:1" ht="15.75" customHeight="1" x14ac:dyDescent="0.25">
      <c r="A545" s="7"/>
    </row>
    <row r="546" spans="1:1" ht="15.75" customHeight="1" x14ac:dyDescent="0.25">
      <c r="A546" s="7"/>
    </row>
    <row r="547" spans="1:1" ht="15.75" customHeight="1" x14ac:dyDescent="0.25">
      <c r="A547" s="7"/>
    </row>
    <row r="548" spans="1:1" ht="15.75" customHeight="1" x14ac:dyDescent="0.25">
      <c r="A548" s="7"/>
    </row>
    <row r="549" spans="1:1" ht="15.75" customHeight="1" x14ac:dyDescent="0.25">
      <c r="A549" s="7"/>
    </row>
    <row r="550" spans="1:1" ht="15.75" customHeight="1" x14ac:dyDescent="0.25">
      <c r="A550" s="7"/>
    </row>
    <row r="551" spans="1:1" ht="15.75" customHeight="1" x14ac:dyDescent="0.25">
      <c r="A551" s="7"/>
    </row>
    <row r="552" spans="1:1" ht="15.75" customHeight="1" x14ac:dyDescent="0.25">
      <c r="A552" s="7"/>
    </row>
    <row r="553" spans="1:1" ht="15.75" customHeight="1" x14ac:dyDescent="0.25">
      <c r="A553" s="7"/>
    </row>
    <row r="554" spans="1:1" ht="15.75" customHeight="1" x14ac:dyDescent="0.25">
      <c r="A554" s="7"/>
    </row>
    <row r="555" spans="1:1" ht="15.75" customHeight="1" x14ac:dyDescent="0.25">
      <c r="A555" s="7"/>
    </row>
    <row r="556" spans="1:1" ht="15.75" customHeight="1" x14ac:dyDescent="0.25">
      <c r="A556" s="7"/>
    </row>
    <row r="557" spans="1:1" ht="15.75" customHeight="1" x14ac:dyDescent="0.25">
      <c r="A557" s="7"/>
    </row>
    <row r="558" spans="1:1" ht="15.75" customHeight="1" x14ac:dyDescent="0.25">
      <c r="A558" s="7"/>
    </row>
    <row r="559" spans="1:1" ht="15.75" customHeight="1" x14ac:dyDescent="0.25">
      <c r="A559" s="7"/>
    </row>
    <row r="560" spans="1:1" ht="15.75" customHeight="1" x14ac:dyDescent="0.25">
      <c r="A560" s="7"/>
    </row>
    <row r="561" spans="1:1" ht="15.75" customHeight="1" x14ac:dyDescent="0.25">
      <c r="A561" s="7"/>
    </row>
    <row r="562" spans="1:1" ht="15.75" customHeight="1" x14ac:dyDescent="0.25">
      <c r="A562" s="7"/>
    </row>
    <row r="563" spans="1:1" ht="15.75" customHeight="1" x14ac:dyDescent="0.25">
      <c r="A563" s="7"/>
    </row>
    <row r="564" spans="1:1" ht="15.75" customHeight="1" x14ac:dyDescent="0.25">
      <c r="A564" s="7"/>
    </row>
    <row r="565" spans="1:1" ht="15.75" customHeight="1" x14ac:dyDescent="0.25">
      <c r="A565" s="7"/>
    </row>
    <row r="566" spans="1:1" ht="15.75" customHeight="1" x14ac:dyDescent="0.25">
      <c r="A566" s="7"/>
    </row>
    <row r="567" spans="1:1" ht="15.75" customHeight="1" x14ac:dyDescent="0.25">
      <c r="A567" s="7"/>
    </row>
    <row r="568" spans="1:1" ht="15.75" customHeight="1" x14ac:dyDescent="0.25">
      <c r="A568" s="7"/>
    </row>
    <row r="569" spans="1:1" ht="15.75" customHeight="1" x14ac:dyDescent="0.25">
      <c r="A569" s="7"/>
    </row>
    <row r="570" spans="1:1" ht="15.75" customHeight="1" x14ac:dyDescent="0.25">
      <c r="A570" s="7"/>
    </row>
    <row r="571" spans="1:1" ht="15.75" customHeight="1" x14ac:dyDescent="0.25">
      <c r="A571" s="7"/>
    </row>
    <row r="572" spans="1:1" ht="15.75" customHeight="1" x14ac:dyDescent="0.25">
      <c r="A572" s="7"/>
    </row>
    <row r="573" spans="1:1" ht="15.75" customHeight="1" x14ac:dyDescent="0.25">
      <c r="A573" s="7"/>
    </row>
    <row r="574" spans="1:1" ht="15.75" customHeight="1" x14ac:dyDescent="0.25">
      <c r="A574" s="7"/>
    </row>
    <row r="575" spans="1:1" ht="15.75" customHeight="1" x14ac:dyDescent="0.25">
      <c r="A575" s="7"/>
    </row>
    <row r="576" spans="1:1" ht="15.75" customHeight="1" x14ac:dyDescent="0.25">
      <c r="A576" s="7"/>
    </row>
    <row r="577" spans="1:1" ht="15.75" customHeight="1" x14ac:dyDescent="0.25">
      <c r="A577" s="7"/>
    </row>
    <row r="578" spans="1:1" ht="15.75" customHeight="1" x14ac:dyDescent="0.25">
      <c r="A578" s="7"/>
    </row>
    <row r="579" spans="1:1" ht="15.75" customHeight="1" x14ac:dyDescent="0.25">
      <c r="A579" s="7"/>
    </row>
    <row r="580" spans="1:1" ht="15.75" customHeight="1" x14ac:dyDescent="0.25">
      <c r="A580" s="7"/>
    </row>
    <row r="581" spans="1:1" ht="15.75" customHeight="1" x14ac:dyDescent="0.25">
      <c r="A581" s="7"/>
    </row>
    <row r="582" spans="1:1" ht="15.75" customHeight="1" x14ac:dyDescent="0.25">
      <c r="A582" s="7"/>
    </row>
    <row r="583" spans="1:1" ht="15.75" customHeight="1" x14ac:dyDescent="0.25">
      <c r="A583" s="7"/>
    </row>
    <row r="584" spans="1:1" ht="15.75" customHeight="1" x14ac:dyDescent="0.25">
      <c r="A584" s="7"/>
    </row>
    <row r="585" spans="1:1" ht="15.75" customHeight="1" x14ac:dyDescent="0.25">
      <c r="A585" s="7"/>
    </row>
    <row r="586" spans="1:1" ht="15.75" customHeight="1" x14ac:dyDescent="0.25">
      <c r="A586" s="7"/>
    </row>
    <row r="587" spans="1:1" ht="15.75" customHeight="1" x14ac:dyDescent="0.25">
      <c r="A587" s="7"/>
    </row>
    <row r="588" spans="1:1" ht="15.75" customHeight="1" x14ac:dyDescent="0.25">
      <c r="A588" s="7"/>
    </row>
    <row r="589" spans="1:1" ht="15.75" customHeight="1" x14ac:dyDescent="0.25">
      <c r="A589" s="7"/>
    </row>
    <row r="590" spans="1:1" ht="15.75" customHeight="1" x14ac:dyDescent="0.25">
      <c r="A590" s="7"/>
    </row>
    <row r="591" spans="1:1" ht="15.75" customHeight="1" x14ac:dyDescent="0.25">
      <c r="A591" s="7"/>
    </row>
    <row r="592" spans="1:1" ht="15.75" customHeight="1" x14ac:dyDescent="0.25">
      <c r="A592" s="7"/>
    </row>
    <row r="593" spans="1:1" ht="15.75" customHeight="1" x14ac:dyDescent="0.25">
      <c r="A593" s="7"/>
    </row>
    <row r="594" spans="1:1" ht="15.75" customHeight="1" x14ac:dyDescent="0.25">
      <c r="A594" s="7"/>
    </row>
    <row r="595" spans="1:1" ht="15.75" customHeight="1" x14ac:dyDescent="0.25">
      <c r="A595" s="7"/>
    </row>
    <row r="596" spans="1:1" ht="15.75" customHeight="1" x14ac:dyDescent="0.25">
      <c r="A596" s="7"/>
    </row>
    <row r="597" spans="1:1" ht="15.75" customHeight="1" x14ac:dyDescent="0.25">
      <c r="A597" s="7"/>
    </row>
    <row r="598" spans="1:1" ht="15.75" customHeight="1" x14ac:dyDescent="0.25">
      <c r="A598" s="7"/>
    </row>
    <row r="599" spans="1:1" ht="15.75" customHeight="1" x14ac:dyDescent="0.25">
      <c r="A599" s="7"/>
    </row>
    <row r="600" spans="1:1" ht="15.75" customHeight="1" x14ac:dyDescent="0.25">
      <c r="A600" s="7"/>
    </row>
    <row r="601" spans="1:1" ht="15.75" customHeight="1" x14ac:dyDescent="0.25">
      <c r="A601" s="7"/>
    </row>
    <row r="602" spans="1:1" ht="15.75" customHeight="1" x14ac:dyDescent="0.25">
      <c r="A602" s="7"/>
    </row>
    <row r="603" spans="1:1" ht="15.75" customHeight="1" x14ac:dyDescent="0.25">
      <c r="A603" s="7"/>
    </row>
    <row r="604" spans="1:1" ht="15.75" customHeight="1" x14ac:dyDescent="0.25">
      <c r="A604" s="7"/>
    </row>
    <row r="605" spans="1:1" ht="15.75" customHeight="1" x14ac:dyDescent="0.25">
      <c r="A605" s="7"/>
    </row>
    <row r="606" spans="1:1" ht="15.75" customHeight="1" x14ac:dyDescent="0.25">
      <c r="A606" s="7"/>
    </row>
    <row r="607" spans="1:1" ht="15.75" customHeight="1" x14ac:dyDescent="0.25">
      <c r="A607" s="7"/>
    </row>
    <row r="608" spans="1:1" ht="15.75" customHeight="1" x14ac:dyDescent="0.25">
      <c r="A608" s="7"/>
    </row>
    <row r="609" spans="1:1" ht="15.75" customHeight="1" x14ac:dyDescent="0.25">
      <c r="A609" s="7"/>
    </row>
    <row r="610" spans="1:1" ht="15.75" customHeight="1" x14ac:dyDescent="0.25">
      <c r="A610" s="7"/>
    </row>
    <row r="611" spans="1:1" ht="15.75" customHeight="1" x14ac:dyDescent="0.25">
      <c r="A611" s="7"/>
    </row>
    <row r="612" spans="1:1" ht="15.75" customHeight="1" x14ac:dyDescent="0.25">
      <c r="A612" s="7"/>
    </row>
    <row r="613" spans="1:1" ht="15.75" customHeight="1" x14ac:dyDescent="0.25">
      <c r="A613" s="7"/>
    </row>
    <row r="614" spans="1:1" ht="15.75" customHeight="1" x14ac:dyDescent="0.25">
      <c r="A614" s="7"/>
    </row>
    <row r="615" spans="1:1" ht="15.75" customHeight="1" x14ac:dyDescent="0.25">
      <c r="A615" s="7"/>
    </row>
    <row r="616" spans="1:1" ht="15.75" customHeight="1" x14ac:dyDescent="0.25">
      <c r="A616" s="7"/>
    </row>
    <row r="617" spans="1:1" ht="15.75" customHeight="1" x14ac:dyDescent="0.25">
      <c r="A617" s="7"/>
    </row>
    <row r="618" spans="1:1" ht="15.75" customHeight="1" x14ac:dyDescent="0.25">
      <c r="A618" s="7"/>
    </row>
    <row r="619" spans="1:1" ht="15.75" customHeight="1" x14ac:dyDescent="0.25">
      <c r="A619" s="7"/>
    </row>
    <row r="620" spans="1:1" ht="15.75" customHeight="1" x14ac:dyDescent="0.25">
      <c r="A620" s="7"/>
    </row>
    <row r="621" spans="1:1" ht="15.75" customHeight="1" x14ac:dyDescent="0.25">
      <c r="A621" s="7"/>
    </row>
    <row r="622" spans="1:1" ht="15.75" customHeight="1" x14ac:dyDescent="0.25">
      <c r="A622" s="7"/>
    </row>
    <row r="623" spans="1:1" ht="15.75" customHeight="1" x14ac:dyDescent="0.25">
      <c r="A623" s="7"/>
    </row>
    <row r="624" spans="1:1" ht="15.75" customHeight="1" x14ac:dyDescent="0.25">
      <c r="A624" s="7"/>
    </row>
    <row r="625" spans="1:1" ht="15.75" customHeight="1" x14ac:dyDescent="0.25">
      <c r="A625" s="7"/>
    </row>
    <row r="626" spans="1:1" ht="15.75" customHeight="1" x14ac:dyDescent="0.25">
      <c r="A626" s="7"/>
    </row>
    <row r="627" spans="1:1" ht="15.75" customHeight="1" x14ac:dyDescent="0.25">
      <c r="A627" s="7"/>
    </row>
    <row r="628" spans="1:1" ht="15.75" customHeight="1" x14ac:dyDescent="0.25">
      <c r="A628" s="7"/>
    </row>
    <row r="629" spans="1:1" ht="15.75" customHeight="1" x14ac:dyDescent="0.25">
      <c r="A629" s="7"/>
    </row>
    <row r="630" spans="1:1" ht="15.75" customHeight="1" x14ac:dyDescent="0.25">
      <c r="A630" s="7"/>
    </row>
    <row r="631" spans="1:1" ht="15.75" customHeight="1" x14ac:dyDescent="0.25">
      <c r="A631" s="7"/>
    </row>
    <row r="632" spans="1:1" ht="15.75" customHeight="1" x14ac:dyDescent="0.25">
      <c r="A632" s="7"/>
    </row>
    <row r="633" spans="1:1" ht="15.75" customHeight="1" x14ac:dyDescent="0.25">
      <c r="A633" s="7"/>
    </row>
    <row r="634" spans="1:1" ht="15.75" customHeight="1" x14ac:dyDescent="0.25">
      <c r="A634" s="7"/>
    </row>
    <row r="635" spans="1:1" ht="15.75" customHeight="1" x14ac:dyDescent="0.25">
      <c r="A635" s="7"/>
    </row>
    <row r="636" spans="1:1" ht="15.75" customHeight="1" x14ac:dyDescent="0.25">
      <c r="A636" s="7"/>
    </row>
    <row r="637" spans="1:1" ht="15.75" customHeight="1" x14ac:dyDescent="0.25">
      <c r="A637" s="7"/>
    </row>
    <row r="638" spans="1:1" ht="15.75" customHeight="1" x14ac:dyDescent="0.25">
      <c r="A638" s="7"/>
    </row>
    <row r="639" spans="1:1" ht="15.75" customHeight="1" x14ac:dyDescent="0.25">
      <c r="A639" s="7"/>
    </row>
    <row r="640" spans="1:1" ht="15.75" customHeight="1" x14ac:dyDescent="0.25">
      <c r="A640" s="7"/>
    </row>
    <row r="641" spans="1:1" ht="15.75" customHeight="1" x14ac:dyDescent="0.25">
      <c r="A641" s="7"/>
    </row>
    <row r="642" spans="1:1" ht="15.75" customHeight="1" x14ac:dyDescent="0.25">
      <c r="A642" s="7"/>
    </row>
    <row r="643" spans="1:1" ht="15.75" customHeight="1" x14ac:dyDescent="0.25">
      <c r="A643" s="7"/>
    </row>
    <row r="644" spans="1:1" ht="15.75" customHeight="1" x14ac:dyDescent="0.25">
      <c r="A644" s="7"/>
    </row>
    <row r="645" spans="1:1" ht="15.75" customHeight="1" x14ac:dyDescent="0.25">
      <c r="A645" s="7"/>
    </row>
    <row r="646" spans="1:1" ht="15.75" customHeight="1" x14ac:dyDescent="0.25">
      <c r="A646" s="7"/>
    </row>
    <row r="647" spans="1:1" ht="15.75" customHeight="1" x14ac:dyDescent="0.25">
      <c r="A647" s="7"/>
    </row>
    <row r="648" spans="1:1" ht="15.75" customHeight="1" x14ac:dyDescent="0.25">
      <c r="A648" s="7"/>
    </row>
    <row r="649" spans="1:1" ht="15.75" customHeight="1" x14ac:dyDescent="0.25">
      <c r="A649" s="7"/>
    </row>
    <row r="650" spans="1:1" ht="15.75" customHeight="1" x14ac:dyDescent="0.25">
      <c r="A650" s="7"/>
    </row>
    <row r="651" spans="1:1" ht="15.75" customHeight="1" x14ac:dyDescent="0.25">
      <c r="A651" s="7"/>
    </row>
    <row r="652" spans="1:1" ht="15.75" customHeight="1" x14ac:dyDescent="0.25">
      <c r="A652" s="7"/>
    </row>
    <row r="653" spans="1:1" ht="15.75" customHeight="1" x14ac:dyDescent="0.25">
      <c r="A653" s="7"/>
    </row>
    <row r="654" spans="1:1" ht="15.75" customHeight="1" x14ac:dyDescent="0.25">
      <c r="A654" s="7"/>
    </row>
    <row r="655" spans="1:1" ht="15.75" customHeight="1" x14ac:dyDescent="0.25">
      <c r="A655" s="7"/>
    </row>
    <row r="656" spans="1:1" ht="15.75" customHeight="1" x14ac:dyDescent="0.25">
      <c r="A656" s="7"/>
    </row>
    <row r="657" spans="1:1" ht="15.75" customHeight="1" x14ac:dyDescent="0.25">
      <c r="A657" s="7"/>
    </row>
    <row r="658" spans="1:1" ht="15.75" customHeight="1" x14ac:dyDescent="0.25">
      <c r="A658" s="7"/>
    </row>
    <row r="659" spans="1:1" ht="15.75" customHeight="1" x14ac:dyDescent="0.25">
      <c r="A659" s="7"/>
    </row>
    <row r="660" spans="1:1" ht="15.75" customHeight="1" x14ac:dyDescent="0.25">
      <c r="A660" s="7"/>
    </row>
    <row r="661" spans="1:1" ht="15.75" customHeight="1" x14ac:dyDescent="0.25">
      <c r="A661" s="7"/>
    </row>
    <row r="662" spans="1:1" ht="15.75" customHeight="1" x14ac:dyDescent="0.25">
      <c r="A662" s="7"/>
    </row>
    <row r="663" spans="1:1" ht="15.75" customHeight="1" x14ac:dyDescent="0.25">
      <c r="A663" s="7"/>
    </row>
    <row r="664" spans="1:1" ht="15.75" customHeight="1" x14ac:dyDescent="0.25">
      <c r="A664" s="7"/>
    </row>
    <row r="665" spans="1:1" ht="15.75" customHeight="1" x14ac:dyDescent="0.25">
      <c r="A665" s="7"/>
    </row>
    <row r="666" spans="1:1" ht="15.75" customHeight="1" x14ac:dyDescent="0.25">
      <c r="A666" s="7"/>
    </row>
    <row r="667" spans="1:1" ht="15.75" customHeight="1" x14ac:dyDescent="0.25">
      <c r="A667" s="7"/>
    </row>
    <row r="668" spans="1:1" ht="15.75" customHeight="1" x14ac:dyDescent="0.25">
      <c r="A668" s="7"/>
    </row>
    <row r="669" spans="1:1" ht="15.75" customHeight="1" x14ac:dyDescent="0.25">
      <c r="A669" s="7"/>
    </row>
    <row r="670" spans="1:1" ht="15.75" customHeight="1" x14ac:dyDescent="0.25">
      <c r="A670" s="7"/>
    </row>
    <row r="671" spans="1:1" ht="15.75" customHeight="1" x14ac:dyDescent="0.25">
      <c r="A671" s="7"/>
    </row>
    <row r="672" spans="1:1" ht="15.75" customHeight="1" x14ac:dyDescent="0.25">
      <c r="A672" s="7"/>
    </row>
    <row r="673" spans="1:1" ht="15.75" customHeight="1" x14ac:dyDescent="0.25">
      <c r="A673" s="7"/>
    </row>
    <row r="674" spans="1:1" ht="15.75" customHeight="1" x14ac:dyDescent="0.25">
      <c r="A674" s="7"/>
    </row>
    <row r="675" spans="1:1" ht="15.75" customHeight="1" x14ac:dyDescent="0.25">
      <c r="A675" s="7"/>
    </row>
    <row r="676" spans="1:1" ht="15.75" customHeight="1" x14ac:dyDescent="0.25">
      <c r="A676" s="7"/>
    </row>
    <row r="677" spans="1:1" ht="15.75" customHeight="1" x14ac:dyDescent="0.25">
      <c r="A677" s="7"/>
    </row>
    <row r="678" spans="1:1" ht="15.75" customHeight="1" x14ac:dyDescent="0.25">
      <c r="A678" s="7"/>
    </row>
    <row r="679" spans="1:1" ht="15.75" customHeight="1" x14ac:dyDescent="0.25">
      <c r="A679" s="7"/>
    </row>
    <row r="680" spans="1:1" ht="15.75" customHeight="1" x14ac:dyDescent="0.25">
      <c r="A680" s="7"/>
    </row>
    <row r="681" spans="1:1" ht="15.75" customHeight="1" x14ac:dyDescent="0.25">
      <c r="A681" s="7"/>
    </row>
    <row r="682" spans="1:1" ht="15.75" customHeight="1" x14ac:dyDescent="0.25">
      <c r="A682" s="7"/>
    </row>
    <row r="683" spans="1:1" ht="15.75" customHeight="1" x14ac:dyDescent="0.25">
      <c r="A683" s="7"/>
    </row>
    <row r="684" spans="1:1" ht="15.75" customHeight="1" x14ac:dyDescent="0.25">
      <c r="A684" s="7"/>
    </row>
    <row r="685" spans="1:1" ht="15.75" customHeight="1" x14ac:dyDescent="0.25">
      <c r="A685" s="7"/>
    </row>
    <row r="686" spans="1:1" ht="15.75" customHeight="1" x14ac:dyDescent="0.25">
      <c r="A686" s="7"/>
    </row>
    <row r="687" spans="1:1" ht="15.75" customHeight="1" x14ac:dyDescent="0.25">
      <c r="A687" s="7"/>
    </row>
    <row r="688" spans="1:1" ht="15.75" customHeight="1" x14ac:dyDescent="0.25">
      <c r="A688" s="7"/>
    </row>
    <row r="689" spans="1:1" ht="15.75" customHeight="1" x14ac:dyDescent="0.25">
      <c r="A689" s="7"/>
    </row>
    <row r="690" spans="1:1" ht="15.75" customHeight="1" x14ac:dyDescent="0.25">
      <c r="A690" s="7"/>
    </row>
    <row r="691" spans="1:1" ht="15.75" customHeight="1" x14ac:dyDescent="0.25">
      <c r="A691" s="7"/>
    </row>
    <row r="692" spans="1:1" ht="15.75" customHeight="1" x14ac:dyDescent="0.25">
      <c r="A692" s="7"/>
    </row>
    <row r="693" spans="1:1" ht="15.75" customHeight="1" x14ac:dyDescent="0.25">
      <c r="A693" s="7"/>
    </row>
    <row r="694" spans="1:1" ht="15.75" customHeight="1" x14ac:dyDescent="0.25">
      <c r="A694" s="7"/>
    </row>
    <row r="695" spans="1:1" ht="15.75" customHeight="1" x14ac:dyDescent="0.25">
      <c r="A695" s="7"/>
    </row>
    <row r="696" spans="1:1" ht="15.75" customHeight="1" x14ac:dyDescent="0.25">
      <c r="A696" s="7"/>
    </row>
    <row r="697" spans="1:1" ht="15.75" customHeight="1" x14ac:dyDescent="0.25">
      <c r="A697" s="7"/>
    </row>
    <row r="698" spans="1:1" ht="15.75" customHeight="1" x14ac:dyDescent="0.25">
      <c r="A698" s="7"/>
    </row>
    <row r="699" spans="1:1" ht="15.75" customHeight="1" x14ac:dyDescent="0.25">
      <c r="A699" s="7"/>
    </row>
    <row r="700" spans="1:1" ht="15.75" customHeight="1" x14ac:dyDescent="0.25">
      <c r="A700" s="7"/>
    </row>
    <row r="701" spans="1:1" ht="15.75" customHeight="1" x14ac:dyDescent="0.25">
      <c r="A701" s="7"/>
    </row>
    <row r="702" spans="1:1" ht="15.75" customHeight="1" x14ac:dyDescent="0.25">
      <c r="A702" s="7"/>
    </row>
    <row r="703" spans="1:1" ht="15.75" customHeight="1" x14ac:dyDescent="0.25">
      <c r="A703" s="7"/>
    </row>
    <row r="704" spans="1:1" ht="15.75" customHeight="1" x14ac:dyDescent="0.25">
      <c r="A704" s="7"/>
    </row>
    <row r="705" spans="1:1" ht="15.75" customHeight="1" x14ac:dyDescent="0.25">
      <c r="A705" s="7"/>
    </row>
    <row r="706" spans="1:1" ht="15.75" customHeight="1" x14ac:dyDescent="0.25">
      <c r="A706" s="7"/>
    </row>
    <row r="707" spans="1:1" ht="15.75" customHeight="1" x14ac:dyDescent="0.25">
      <c r="A707" s="7"/>
    </row>
    <row r="708" spans="1:1" ht="15.75" customHeight="1" x14ac:dyDescent="0.25">
      <c r="A708" s="7"/>
    </row>
    <row r="709" spans="1:1" ht="15.75" customHeight="1" x14ac:dyDescent="0.25">
      <c r="A709" s="7"/>
    </row>
    <row r="710" spans="1:1" ht="15.75" customHeight="1" x14ac:dyDescent="0.25">
      <c r="A710" s="7"/>
    </row>
    <row r="711" spans="1:1" ht="15.75" customHeight="1" x14ac:dyDescent="0.25">
      <c r="A711" s="7"/>
    </row>
    <row r="712" spans="1:1" ht="15.75" customHeight="1" x14ac:dyDescent="0.25">
      <c r="A712" s="7"/>
    </row>
    <row r="713" spans="1:1" ht="15.75" customHeight="1" x14ac:dyDescent="0.25">
      <c r="A713" s="7"/>
    </row>
    <row r="714" spans="1:1" ht="15.75" customHeight="1" x14ac:dyDescent="0.25">
      <c r="A714" s="7"/>
    </row>
    <row r="715" spans="1:1" ht="15.75" customHeight="1" x14ac:dyDescent="0.25">
      <c r="A715" s="7"/>
    </row>
    <row r="716" spans="1:1" ht="15.75" customHeight="1" x14ac:dyDescent="0.25">
      <c r="A716" s="7"/>
    </row>
    <row r="717" spans="1:1" ht="15.75" customHeight="1" x14ac:dyDescent="0.25">
      <c r="A717" s="7"/>
    </row>
    <row r="718" spans="1:1" ht="15.75" customHeight="1" x14ac:dyDescent="0.25">
      <c r="A718" s="7"/>
    </row>
    <row r="719" spans="1:1" ht="15.75" customHeight="1" x14ac:dyDescent="0.25">
      <c r="A719" s="7"/>
    </row>
    <row r="720" spans="1:1" ht="15.75" customHeight="1" x14ac:dyDescent="0.25">
      <c r="A720" s="7"/>
    </row>
    <row r="721" spans="1:1" ht="15.75" customHeight="1" x14ac:dyDescent="0.25">
      <c r="A721" s="7"/>
    </row>
    <row r="722" spans="1:1" ht="15.75" customHeight="1" x14ac:dyDescent="0.25">
      <c r="A722" s="7"/>
    </row>
    <row r="723" spans="1:1" ht="15.75" customHeight="1" x14ac:dyDescent="0.25">
      <c r="A723" s="7"/>
    </row>
    <row r="724" spans="1:1" ht="15.75" customHeight="1" x14ac:dyDescent="0.25">
      <c r="A724" s="7"/>
    </row>
    <row r="725" spans="1:1" ht="15.75" customHeight="1" x14ac:dyDescent="0.25">
      <c r="A725" s="7"/>
    </row>
    <row r="726" spans="1:1" ht="15.75" customHeight="1" x14ac:dyDescent="0.25">
      <c r="A726" s="7"/>
    </row>
    <row r="727" spans="1:1" ht="15.75" customHeight="1" x14ac:dyDescent="0.25">
      <c r="A727" s="7"/>
    </row>
    <row r="728" spans="1:1" ht="15.75" customHeight="1" x14ac:dyDescent="0.25">
      <c r="A728" s="7"/>
    </row>
    <row r="729" spans="1:1" ht="15.75" customHeight="1" x14ac:dyDescent="0.25">
      <c r="A729" s="7"/>
    </row>
    <row r="730" spans="1:1" ht="15.75" customHeight="1" x14ac:dyDescent="0.25">
      <c r="A730" s="7"/>
    </row>
    <row r="731" spans="1:1" ht="15.75" customHeight="1" x14ac:dyDescent="0.25">
      <c r="A731" s="7"/>
    </row>
    <row r="732" spans="1:1" ht="15.75" customHeight="1" x14ac:dyDescent="0.25">
      <c r="A732" s="7"/>
    </row>
    <row r="733" spans="1:1" ht="15.75" customHeight="1" x14ac:dyDescent="0.25">
      <c r="A733" s="7"/>
    </row>
    <row r="734" spans="1:1" ht="15.75" customHeight="1" x14ac:dyDescent="0.25">
      <c r="A734" s="7"/>
    </row>
    <row r="735" spans="1:1" ht="15.75" customHeight="1" x14ac:dyDescent="0.25">
      <c r="A735" s="7"/>
    </row>
    <row r="736" spans="1:1" ht="15.75" customHeight="1" x14ac:dyDescent="0.25">
      <c r="A736" s="7"/>
    </row>
    <row r="737" spans="1:1" ht="15.75" customHeight="1" x14ac:dyDescent="0.25">
      <c r="A737" s="7"/>
    </row>
    <row r="738" spans="1:1" ht="15.75" customHeight="1" x14ac:dyDescent="0.25">
      <c r="A738" s="7"/>
    </row>
    <row r="739" spans="1:1" ht="15.75" customHeight="1" x14ac:dyDescent="0.25">
      <c r="A739" s="7"/>
    </row>
    <row r="740" spans="1:1" ht="15.75" customHeight="1" x14ac:dyDescent="0.25">
      <c r="A740" s="7"/>
    </row>
    <row r="741" spans="1:1" ht="15.75" customHeight="1" x14ac:dyDescent="0.25">
      <c r="A741" s="7"/>
    </row>
    <row r="742" spans="1:1" ht="15.75" customHeight="1" x14ac:dyDescent="0.25">
      <c r="A742" s="7"/>
    </row>
    <row r="743" spans="1:1" ht="15.75" customHeight="1" x14ac:dyDescent="0.25">
      <c r="A743" s="7"/>
    </row>
    <row r="744" spans="1:1" ht="15.75" customHeight="1" x14ac:dyDescent="0.25">
      <c r="A744" s="7"/>
    </row>
    <row r="745" spans="1:1" ht="15.75" customHeight="1" x14ac:dyDescent="0.25">
      <c r="A745" s="7"/>
    </row>
    <row r="746" spans="1:1" ht="15.75" customHeight="1" x14ac:dyDescent="0.25">
      <c r="A746" s="7"/>
    </row>
    <row r="747" spans="1:1" ht="15.75" customHeight="1" x14ac:dyDescent="0.25">
      <c r="A747" s="7"/>
    </row>
    <row r="748" spans="1:1" ht="15.75" customHeight="1" x14ac:dyDescent="0.25">
      <c r="A748" s="7"/>
    </row>
    <row r="749" spans="1:1" ht="15.75" customHeight="1" x14ac:dyDescent="0.25">
      <c r="A749" s="7"/>
    </row>
    <row r="750" spans="1:1" ht="15.75" customHeight="1" x14ac:dyDescent="0.25">
      <c r="A750" s="7"/>
    </row>
    <row r="751" spans="1:1" ht="15.75" customHeight="1" x14ac:dyDescent="0.25">
      <c r="A751" s="7"/>
    </row>
    <row r="752" spans="1:1" ht="15.75" customHeight="1" x14ac:dyDescent="0.25">
      <c r="A752" s="7"/>
    </row>
    <row r="753" spans="1:1" ht="15.75" customHeight="1" x14ac:dyDescent="0.25">
      <c r="A753" s="7"/>
    </row>
    <row r="754" spans="1:1" ht="15.75" customHeight="1" x14ac:dyDescent="0.25">
      <c r="A754" s="7"/>
    </row>
    <row r="755" spans="1:1" ht="15.75" customHeight="1" x14ac:dyDescent="0.25">
      <c r="A755" s="7"/>
    </row>
    <row r="756" spans="1:1" ht="15.75" customHeight="1" x14ac:dyDescent="0.25">
      <c r="A756" s="7"/>
    </row>
    <row r="757" spans="1:1" ht="15.75" customHeight="1" x14ac:dyDescent="0.25">
      <c r="A757" s="7"/>
    </row>
    <row r="758" spans="1:1" ht="15.75" customHeight="1" x14ac:dyDescent="0.25">
      <c r="A758" s="7"/>
    </row>
    <row r="759" spans="1:1" ht="15.75" customHeight="1" x14ac:dyDescent="0.25">
      <c r="A759" s="7"/>
    </row>
    <row r="760" spans="1:1" ht="15.75" customHeight="1" x14ac:dyDescent="0.25">
      <c r="A760" s="7"/>
    </row>
    <row r="761" spans="1:1" ht="15.75" customHeight="1" x14ac:dyDescent="0.25">
      <c r="A761" s="7"/>
    </row>
    <row r="762" spans="1:1" ht="15.75" customHeight="1" x14ac:dyDescent="0.25">
      <c r="A762" s="7"/>
    </row>
    <row r="763" spans="1:1" ht="15.75" customHeight="1" x14ac:dyDescent="0.25">
      <c r="A763" s="7"/>
    </row>
    <row r="764" spans="1:1" ht="15.75" customHeight="1" x14ac:dyDescent="0.25">
      <c r="A764" s="7"/>
    </row>
    <row r="765" spans="1:1" ht="15.75" customHeight="1" x14ac:dyDescent="0.25">
      <c r="A765" s="7"/>
    </row>
    <row r="766" spans="1:1" ht="15.75" customHeight="1" x14ac:dyDescent="0.25">
      <c r="A766" s="7"/>
    </row>
    <row r="767" spans="1:1" ht="15.75" customHeight="1" x14ac:dyDescent="0.25">
      <c r="A767" s="7"/>
    </row>
    <row r="768" spans="1:1" ht="15.75" customHeight="1" x14ac:dyDescent="0.25">
      <c r="A768" s="7"/>
    </row>
    <row r="769" spans="1:1" ht="15.75" customHeight="1" x14ac:dyDescent="0.25">
      <c r="A769" s="7"/>
    </row>
    <row r="770" spans="1:1" ht="15.75" customHeight="1" x14ac:dyDescent="0.25">
      <c r="A770" s="7"/>
    </row>
    <row r="771" spans="1:1" ht="15.75" customHeight="1" x14ac:dyDescent="0.25">
      <c r="A771" s="7"/>
    </row>
    <row r="772" spans="1:1" ht="15.75" customHeight="1" x14ac:dyDescent="0.25">
      <c r="A772" s="7"/>
    </row>
    <row r="773" spans="1:1" ht="15.75" customHeight="1" x14ac:dyDescent="0.25">
      <c r="A773" s="7"/>
    </row>
    <row r="774" spans="1:1" ht="15.75" customHeight="1" x14ac:dyDescent="0.25">
      <c r="A774" s="7"/>
    </row>
    <row r="775" spans="1:1" ht="15.75" customHeight="1" x14ac:dyDescent="0.25">
      <c r="A775" s="7"/>
    </row>
    <row r="776" spans="1:1" ht="15.75" customHeight="1" x14ac:dyDescent="0.25">
      <c r="A776" s="7"/>
    </row>
    <row r="777" spans="1:1" ht="15.75" customHeight="1" x14ac:dyDescent="0.25">
      <c r="A777" s="7"/>
    </row>
    <row r="778" spans="1:1" ht="15.75" customHeight="1" x14ac:dyDescent="0.25">
      <c r="A778" s="7"/>
    </row>
    <row r="779" spans="1:1" ht="15.75" customHeight="1" x14ac:dyDescent="0.25">
      <c r="A779" s="7"/>
    </row>
    <row r="780" spans="1:1" ht="15.75" customHeight="1" x14ac:dyDescent="0.25">
      <c r="A780" s="7"/>
    </row>
    <row r="781" spans="1:1" ht="15.75" customHeight="1" x14ac:dyDescent="0.25">
      <c r="A781" s="7"/>
    </row>
    <row r="782" spans="1:1" ht="15.75" customHeight="1" x14ac:dyDescent="0.25">
      <c r="A782" s="7"/>
    </row>
    <row r="783" spans="1:1" ht="15.75" customHeight="1" x14ac:dyDescent="0.25">
      <c r="A783" s="7"/>
    </row>
    <row r="784" spans="1:1" ht="15.75" customHeight="1" x14ac:dyDescent="0.25">
      <c r="A784" s="7"/>
    </row>
    <row r="785" spans="1:1" ht="15.75" customHeight="1" x14ac:dyDescent="0.25">
      <c r="A785" s="7"/>
    </row>
    <row r="786" spans="1:1" ht="15.75" customHeight="1" x14ac:dyDescent="0.25">
      <c r="A786" s="7"/>
    </row>
    <row r="787" spans="1:1" ht="15.75" customHeight="1" x14ac:dyDescent="0.25">
      <c r="A787" s="7"/>
    </row>
    <row r="788" spans="1:1" ht="15.75" customHeight="1" x14ac:dyDescent="0.25">
      <c r="A788" s="7"/>
    </row>
    <row r="789" spans="1:1" ht="15.75" customHeight="1" x14ac:dyDescent="0.25">
      <c r="A789" s="7"/>
    </row>
    <row r="790" spans="1:1" ht="15.75" customHeight="1" x14ac:dyDescent="0.25">
      <c r="A790" s="7"/>
    </row>
    <row r="791" spans="1:1" ht="15.75" customHeight="1" x14ac:dyDescent="0.25">
      <c r="A791" s="7"/>
    </row>
    <row r="792" spans="1:1" ht="15.75" customHeight="1" x14ac:dyDescent="0.25">
      <c r="A792" s="7"/>
    </row>
    <row r="793" spans="1:1" ht="15.75" customHeight="1" x14ac:dyDescent="0.25">
      <c r="A793" s="7"/>
    </row>
    <row r="794" spans="1:1" ht="15.75" customHeight="1" x14ac:dyDescent="0.25">
      <c r="A794" s="7"/>
    </row>
    <row r="795" spans="1:1" ht="15.75" customHeight="1" x14ac:dyDescent="0.25">
      <c r="A795" s="7"/>
    </row>
    <row r="796" spans="1:1" ht="15.75" customHeight="1" x14ac:dyDescent="0.25">
      <c r="A796" s="7"/>
    </row>
    <row r="797" spans="1:1" ht="15.75" customHeight="1" x14ac:dyDescent="0.25">
      <c r="A797" s="7"/>
    </row>
    <row r="798" spans="1:1" ht="15.75" customHeight="1" x14ac:dyDescent="0.25">
      <c r="A798" s="7"/>
    </row>
    <row r="799" spans="1:1" ht="15.75" customHeight="1" x14ac:dyDescent="0.25">
      <c r="A799" s="7"/>
    </row>
    <row r="800" spans="1:1" ht="15.75" customHeight="1" x14ac:dyDescent="0.25">
      <c r="A800" s="7"/>
    </row>
    <row r="801" spans="1:1" ht="15.75" customHeight="1" x14ac:dyDescent="0.25">
      <c r="A801" s="7"/>
    </row>
    <row r="802" spans="1:1" ht="15.75" customHeight="1" x14ac:dyDescent="0.25">
      <c r="A802" s="7"/>
    </row>
    <row r="803" spans="1:1" ht="15.75" customHeight="1" x14ac:dyDescent="0.25">
      <c r="A803" s="7"/>
    </row>
    <row r="804" spans="1:1" ht="15.75" customHeight="1" x14ac:dyDescent="0.25">
      <c r="A804" s="7"/>
    </row>
    <row r="805" spans="1:1" ht="15.75" customHeight="1" x14ac:dyDescent="0.25">
      <c r="A805" s="7"/>
    </row>
    <row r="806" spans="1:1" ht="15.75" customHeight="1" x14ac:dyDescent="0.25">
      <c r="A806" s="7"/>
    </row>
    <row r="807" spans="1:1" ht="15.75" customHeight="1" x14ac:dyDescent="0.25">
      <c r="A807" s="7"/>
    </row>
    <row r="808" spans="1:1" ht="15.75" customHeight="1" x14ac:dyDescent="0.25">
      <c r="A808" s="7"/>
    </row>
    <row r="809" spans="1:1" ht="15.75" customHeight="1" x14ac:dyDescent="0.25">
      <c r="A809" s="7"/>
    </row>
    <row r="810" spans="1:1" ht="15.75" customHeight="1" x14ac:dyDescent="0.25">
      <c r="A810" s="7"/>
    </row>
    <row r="811" spans="1:1" ht="15.75" customHeight="1" x14ac:dyDescent="0.25">
      <c r="A811" s="7"/>
    </row>
    <row r="812" spans="1:1" ht="15.75" customHeight="1" x14ac:dyDescent="0.25">
      <c r="A812" s="7"/>
    </row>
    <row r="813" spans="1:1" ht="15.75" customHeight="1" x14ac:dyDescent="0.25">
      <c r="A813" s="7"/>
    </row>
    <row r="814" spans="1:1" ht="15.75" customHeight="1" x14ac:dyDescent="0.25">
      <c r="A814" s="7"/>
    </row>
    <row r="815" spans="1:1" ht="15.75" customHeight="1" x14ac:dyDescent="0.25">
      <c r="A815" s="7"/>
    </row>
    <row r="816" spans="1:1" ht="15.75" customHeight="1" x14ac:dyDescent="0.25">
      <c r="A816" s="7"/>
    </row>
    <row r="817" spans="1:1" ht="15.75" customHeight="1" x14ac:dyDescent="0.25">
      <c r="A817" s="7"/>
    </row>
    <row r="818" spans="1:1" ht="15.75" customHeight="1" x14ac:dyDescent="0.25">
      <c r="A818" s="7"/>
    </row>
    <row r="819" spans="1:1" ht="15.75" customHeight="1" x14ac:dyDescent="0.25">
      <c r="A819" s="7"/>
    </row>
    <row r="820" spans="1:1" ht="15.75" customHeight="1" x14ac:dyDescent="0.25">
      <c r="A820" s="7"/>
    </row>
    <row r="821" spans="1:1" ht="15.75" customHeight="1" x14ac:dyDescent="0.25">
      <c r="A821" s="7"/>
    </row>
    <row r="822" spans="1:1" ht="15.75" customHeight="1" x14ac:dyDescent="0.25">
      <c r="A822" s="7"/>
    </row>
    <row r="823" spans="1:1" ht="15.75" customHeight="1" x14ac:dyDescent="0.25">
      <c r="A823" s="7"/>
    </row>
    <row r="824" spans="1:1" ht="15.75" customHeight="1" x14ac:dyDescent="0.25">
      <c r="A824" s="7"/>
    </row>
    <row r="825" spans="1:1" ht="15.75" customHeight="1" x14ac:dyDescent="0.25">
      <c r="A825" s="7"/>
    </row>
    <row r="826" spans="1:1" ht="15.75" customHeight="1" x14ac:dyDescent="0.25">
      <c r="A826" s="7"/>
    </row>
    <row r="827" spans="1:1" ht="15.75" customHeight="1" x14ac:dyDescent="0.25">
      <c r="A827" s="7"/>
    </row>
    <row r="828" spans="1:1" ht="15.75" customHeight="1" x14ac:dyDescent="0.25">
      <c r="A828" s="7"/>
    </row>
    <row r="829" spans="1:1" ht="15.75" customHeight="1" x14ac:dyDescent="0.25">
      <c r="A829" s="7"/>
    </row>
    <row r="830" spans="1:1" ht="15.75" customHeight="1" x14ac:dyDescent="0.25">
      <c r="A830" s="7"/>
    </row>
    <row r="831" spans="1:1" ht="15.75" customHeight="1" x14ac:dyDescent="0.25">
      <c r="A831" s="7"/>
    </row>
    <row r="832" spans="1:1" ht="15.75" customHeight="1" x14ac:dyDescent="0.25">
      <c r="A832" s="7"/>
    </row>
    <row r="833" spans="1:1" ht="15.75" customHeight="1" x14ac:dyDescent="0.25">
      <c r="A833" s="7"/>
    </row>
    <row r="834" spans="1:1" ht="15.75" customHeight="1" x14ac:dyDescent="0.25">
      <c r="A834" s="7"/>
    </row>
    <row r="835" spans="1:1" ht="15.75" customHeight="1" x14ac:dyDescent="0.25">
      <c r="A835" s="7"/>
    </row>
    <row r="836" spans="1:1" ht="15.75" customHeight="1" x14ac:dyDescent="0.25">
      <c r="A836" s="7"/>
    </row>
    <row r="837" spans="1:1" ht="15.75" customHeight="1" x14ac:dyDescent="0.25">
      <c r="A837" s="7"/>
    </row>
    <row r="838" spans="1:1" ht="15.75" customHeight="1" x14ac:dyDescent="0.25">
      <c r="A838" s="7"/>
    </row>
    <row r="839" spans="1:1" ht="15.75" customHeight="1" x14ac:dyDescent="0.25">
      <c r="A839" s="7"/>
    </row>
    <row r="840" spans="1:1" ht="15.75" customHeight="1" x14ac:dyDescent="0.25">
      <c r="A840" s="7"/>
    </row>
    <row r="841" spans="1:1" ht="15.75" customHeight="1" x14ac:dyDescent="0.25">
      <c r="A841" s="7"/>
    </row>
    <row r="842" spans="1:1" ht="15.75" customHeight="1" x14ac:dyDescent="0.25">
      <c r="A842" s="7"/>
    </row>
    <row r="843" spans="1:1" ht="15.75" customHeight="1" x14ac:dyDescent="0.25">
      <c r="A843" s="7"/>
    </row>
    <row r="844" spans="1:1" ht="15.75" customHeight="1" x14ac:dyDescent="0.25">
      <c r="A844" s="7"/>
    </row>
    <row r="845" spans="1:1" ht="15.75" customHeight="1" x14ac:dyDescent="0.25">
      <c r="A845" s="7"/>
    </row>
    <row r="846" spans="1:1" ht="15.75" customHeight="1" x14ac:dyDescent="0.25">
      <c r="A846" s="7"/>
    </row>
    <row r="847" spans="1:1" ht="15.75" customHeight="1" x14ac:dyDescent="0.25">
      <c r="A847" s="7"/>
    </row>
    <row r="848" spans="1:1" ht="15.75" customHeight="1" x14ac:dyDescent="0.25">
      <c r="A848" s="7"/>
    </row>
    <row r="849" spans="1:1" ht="15.75" customHeight="1" x14ac:dyDescent="0.25">
      <c r="A849" s="7"/>
    </row>
    <row r="850" spans="1:1" ht="15.75" customHeight="1" x14ac:dyDescent="0.25">
      <c r="A850" s="7"/>
    </row>
    <row r="851" spans="1:1" ht="15.75" customHeight="1" x14ac:dyDescent="0.25">
      <c r="A851" s="7"/>
    </row>
    <row r="852" spans="1:1" ht="15.75" customHeight="1" x14ac:dyDescent="0.25">
      <c r="A852" s="7"/>
    </row>
    <row r="853" spans="1:1" ht="15.75" customHeight="1" x14ac:dyDescent="0.25">
      <c r="A853" s="7"/>
    </row>
    <row r="854" spans="1:1" ht="15.75" customHeight="1" x14ac:dyDescent="0.25">
      <c r="A854" s="7"/>
    </row>
    <row r="855" spans="1:1" ht="15.75" customHeight="1" x14ac:dyDescent="0.25">
      <c r="A855" s="7"/>
    </row>
    <row r="856" spans="1:1" ht="15.75" customHeight="1" x14ac:dyDescent="0.25">
      <c r="A856" s="7"/>
    </row>
    <row r="857" spans="1:1" ht="15.75" customHeight="1" x14ac:dyDescent="0.25">
      <c r="A857" s="7"/>
    </row>
    <row r="858" spans="1:1" ht="15.75" customHeight="1" x14ac:dyDescent="0.25">
      <c r="A858" s="7"/>
    </row>
    <row r="859" spans="1:1" ht="15.75" customHeight="1" x14ac:dyDescent="0.25">
      <c r="A859" s="7"/>
    </row>
    <row r="860" spans="1:1" ht="15.75" customHeight="1" x14ac:dyDescent="0.25">
      <c r="A860" s="7"/>
    </row>
    <row r="861" spans="1:1" ht="15.75" customHeight="1" x14ac:dyDescent="0.25">
      <c r="A861" s="7"/>
    </row>
    <row r="862" spans="1:1" ht="15.75" customHeight="1" x14ac:dyDescent="0.25">
      <c r="A862" s="7"/>
    </row>
    <row r="863" spans="1:1" ht="15.75" customHeight="1" x14ac:dyDescent="0.25">
      <c r="A863" s="7"/>
    </row>
    <row r="864" spans="1:1" ht="15.75" customHeight="1" x14ac:dyDescent="0.25">
      <c r="A864" s="7"/>
    </row>
    <row r="865" spans="1:1" ht="15.75" customHeight="1" x14ac:dyDescent="0.25">
      <c r="A865" s="7"/>
    </row>
    <row r="866" spans="1:1" ht="15.75" customHeight="1" x14ac:dyDescent="0.25">
      <c r="A866" s="7"/>
    </row>
    <row r="867" spans="1:1" ht="15.75" customHeight="1" x14ac:dyDescent="0.25">
      <c r="A867" s="7"/>
    </row>
    <row r="868" spans="1:1" ht="15.75" customHeight="1" x14ac:dyDescent="0.25">
      <c r="A868" s="7"/>
    </row>
    <row r="869" spans="1:1" ht="15.75" customHeight="1" x14ac:dyDescent="0.25">
      <c r="A869" s="7"/>
    </row>
    <row r="870" spans="1:1" ht="15.75" customHeight="1" x14ac:dyDescent="0.25">
      <c r="A870" s="7"/>
    </row>
    <row r="871" spans="1:1" ht="15.75" customHeight="1" x14ac:dyDescent="0.25">
      <c r="A871" s="7"/>
    </row>
    <row r="872" spans="1:1" ht="15.75" customHeight="1" x14ac:dyDescent="0.25">
      <c r="A872" s="7"/>
    </row>
    <row r="873" spans="1:1" ht="15.75" customHeight="1" x14ac:dyDescent="0.25">
      <c r="A873" s="7"/>
    </row>
    <row r="874" spans="1:1" ht="15.75" customHeight="1" x14ac:dyDescent="0.25">
      <c r="A874" s="7"/>
    </row>
    <row r="875" spans="1:1" ht="15.75" customHeight="1" x14ac:dyDescent="0.25">
      <c r="A875" s="7"/>
    </row>
    <row r="876" spans="1:1" ht="15.75" customHeight="1" x14ac:dyDescent="0.25">
      <c r="A876" s="7"/>
    </row>
    <row r="877" spans="1:1" ht="15.75" customHeight="1" x14ac:dyDescent="0.25">
      <c r="A877" s="7"/>
    </row>
    <row r="878" spans="1:1" ht="15.75" customHeight="1" x14ac:dyDescent="0.25">
      <c r="A878" s="7"/>
    </row>
    <row r="879" spans="1:1" ht="15.75" customHeight="1" x14ac:dyDescent="0.25">
      <c r="A879" s="7"/>
    </row>
    <row r="880" spans="1:1" ht="15.75" customHeight="1" x14ac:dyDescent="0.25">
      <c r="A880" s="7"/>
    </row>
    <row r="881" spans="1:1" ht="15.75" customHeight="1" x14ac:dyDescent="0.25">
      <c r="A881" s="7"/>
    </row>
    <row r="882" spans="1:1" ht="15.75" customHeight="1" x14ac:dyDescent="0.25">
      <c r="A882" s="7"/>
    </row>
    <row r="883" spans="1:1" ht="15.75" customHeight="1" x14ac:dyDescent="0.25">
      <c r="A883" s="7"/>
    </row>
    <row r="884" spans="1:1" ht="15.75" customHeight="1" x14ac:dyDescent="0.25">
      <c r="A884" s="7"/>
    </row>
    <row r="885" spans="1:1" ht="15.75" customHeight="1" x14ac:dyDescent="0.25">
      <c r="A885" s="7"/>
    </row>
    <row r="886" spans="1:1" ht="15.75" customHeight="1" x14ac:dyDescent="0.25">
      <c r="A886" s="7"/>
    </row>
    <row r="887" spans="1:1" ht="15.75" customHeight="1" x14ac:dyDescent="0.25">
      <c r="A887" s="7"/>
    </row>
    <row r="888" spans="1:1" ht="15.75" customHeight="1" x14ac:dyDescent="0.25">
      <c r="A888" s="7"/>
    </row>
    <row r="889" spans="1:1" ht="15.75" customHeight="1" x14ac:dyDescent="0.25">
      <c r="A889" s="7"/>
    </row>
    <row r="890" spans="1:1" ht="15.75" customHeight="1" x14ac:dyDescent="0.25">
      <c r="A890" s="7"/>
    </row>
    <row r="891" spans="1:1" ht="15.75" customHeight="1" x14ac:dyDescent="0.25">
      <c r="A891" s="7"/>
    </row>
    <row r="892" spans="1:1" ht="15.75" customHeight="1" x14ac:dyDescent="0.25">
      <c r="A892" s="7"/>
    </row>
    <row r="893" spans="1:1" ht="15.75" customHeight="1" x14ac:dyDescent="0.25">
      <c r="A893" s="7"/>
    </row>
    <row r="894" spans="1:1" ht="15.75" customHeight="1" x14ac:dyDescent="0.25">
      <c r="A894" s="7"/>
    </row>
    <row r="895" spans="1:1" ht="15.75" customHeight="1" x14ac:dyDescent="0.25">
      <c r="A895" s="7"/>
    </row>
    <row r="896" spans="1:1" ht="15.75" customHeight="1" x14ac:dyDescent="0.25">
      <c r="A896" s="7"/>
    </row>
    <row r="897" spans="1:1" ht="15.75" customHeight="1" x14ac:dyDescent="0.25">
      <c r="A897" s="7"/>
    </row>
    <row r="898" spans="1:1" ht="15.75" customHeight="1" x14ac:dyDescent="0.25">
      <c r="A898" s="7"/>
    </row>
    <row r="899" spans="1:1" ht="15.75" customHeight="1" x14ac:dyDescent="0.25">
      <c r="A899" s="7"/>
    </row>
    <row r="900" spans="1:1" ht="15.75" customHeight="1" x14ac:dyDescent="0.25">
      <c r="A900" s="7"/>
    </row>
    <row r="901" spans="1:1" ht="15.75" customHeight="1" x14ac:dyDescent="0.25">
      <c r="A901" s="7"/>
    </row>
    <row r="902" spans="1:1" ht="15.75" customHeight="1" x14ac:dyDescent="0.25">
      <c r="A902" s="7"/>
    </row>
    <row r="903" spans="1:1" ht="15.75" customHeight="1" x14ac:dyDescent="0.25">
      <c r="A903" s="7"/>
    </row>
    <row r="904" spans="1:1" ht="15.75" customHeight="1" x14ac:dyDescent="0.25">
      <c r="A904" s="7"/>
    </row>
    <row r="905" spans="1:1" ht="15.75" customHeight="1" x14ac:dyDescent="0.25">
      <c r="A905" s="7"/>
    </row>
    <row r="906" spans="1:1" ht="15.75" customHeight="1" x14ac:dyDescent="0.25">
      <c r="A906" s="7"/>
    </row>
    <row r="907" spans="1:1" ht="15.75" customHeight="1" x14ac:dyDescent="0.25">
      <c r="A907" s="7"/>
    </row>
    <row r="908" spans="1:1" ht="15.75" customHeight="1" x14ac:dyDescent="0.25">
      <c r="A908" s="7"/>
    </row>
    <row r="909" spans="1:1" ht="15.75" customHeight="1" x14ac:dyDescent="0.25">
      <c r="A909" s="7"/>
    </row>
    <row r="910" spans="1:1" ht="15.75" customHeight="1" x14ac:dyDescent="0.25">
      <c r="A910" s="7"/>
    </row>
    <row r="911" spans="1:1" ht="15.75" customHeight="1" x14ac:dyDescent="0.25">
      <c r="A911" s="7"/>
    </row>
    <row r="912" spans="1:1" ht="15.75" customHeight="1" x14ac:dyDescent="0.25">
      <c r="A912" s="7"/>
    </row>
    <row r="913" spans="1:1" ht="15.75" customHeight="1" x14ac:dyDescent="0.25">
      <c r="A913" s="7"/>
    </row>
    <row r="914" spans="1:1" ht="15.75" customHeight="1" x14ac:dyDescent="0.25">
      <c r="A914" s="7"/>
    </row>
    <row r="915" spans="1:1" ht="15.75" customHeight="1" x14ac:dyDescent="0.25">
      <c r="A915" s="7"/>
    </row>
    <row r="916" spans="1:1" ht="15.75" customHeight="1" x14ac:dyDescent="0.25">
      <c r="A916" s="7"/>
    </row>
    <row r="917" spans="1:1" ht="15.75" customHeight="1" x14ac:dyDescent="0.25">
      <c r="A917" s="7"/>
    </row>
    <row r="918" spans="1:1" ht="15.75" customHeight="1" x14ac:dyDescent="0.25">
      <c r="A918" s="7"/>
    </row>
    <row r="919" spans="1:1" ht="15.75" customHeight="1" x14ac:dyDescent="0.25">
      <c r="A919" s="7"/>
    </row>
    <row r="920" spans="1:1" ht="15.75" customHeight="1" x14ac:dyDescent="0.25">
      <c r="A920" s="7"/>
    </row>
    <row r="921" spans="1:1" ht="15.75" customHeight="1" x14ac:dyDescent="0.25">
      <c r="A921" s="7"/>
    </row>
    <row r="922" spans="1:1" ht="15.75" customHeight="1" x14ac:dyDescent="0.25">
      <c r="A922" s="7"/>
    </row>
    <row r="923" spans="1:1" ht="15.75" customHeight="1" x14ac:dyDescent="0.25">
      <c r="A923" s="7"/>
    </row>
    <row r="924" spans="1:1" ht="15.75" customHeight="1" x14ac:dyDescent="0.25">
      <c r="A924" s="7"/>
    </row>
    <row r="925" spans="1:1" ht="15.75" customHeight="1" x14ac:dyDescent="0.25">
      <c r="A925" s="7"/>
    </row>
    <row r="926" spans="1:1" ht="15.75" customHeight="1" x14ac:dyDescent="0.25">
      <c r="A926" s="7"/>
    </row>
    <row r="927" spans="1:1" ht="15.75" customHeight="1" x14ac:dyDescent="0.25">
      <c r="A927" s="7"/>
    </row>
    <row r="928" spans="1:1" ht="15.75" customHeight="1" x14ac:dyDescent="0.25">
      <c r="A928" s="7"/>
    </row>
    <row r="929" spans="1:1" ht="15.75" customHeight="1" x14ac:dyDescent="0.25">
      <c r="A929" s="7"/>
    </row>
    <row r="930" spans="1:1" ht="15.75" customHeight="1" x14ac:dyDescent="0.25">
      <c r="A930" s="7"/>
    </row>
    <row r="931" spans="1:1" ht="15.75" customHeight="1" x14ac:dyDescent="0.25">
      <c r="A931" s="7"/>
    </row>
    <row r="932" spans="1:1" ht="15.75" customHeight="1" x14ac:dyDescent="0.25">
      <c r="A932" s="7"/>
    </row>
    <row r="933" spans="1:1" ht="15.75" customHeight="1" x14ac:dyDescent="0.25">
      <c r="A933" s="7"/>
    </row>
    <row r="934" spans="1:1" ht="15.75" customHeight="1" x14ac:dyDescent="0.25">
      <c r="A934" s="7"/>
    </row>
    <row r="935" spans="1:1" ht="15.75" customHeight="1" x14ac:dyDescent="0.25">
      <c r="A935" s="7"/>
    </row>
    <row r="936" spans="1:1" ht="15.75" customHeight="1" x14ac:dyDescent="0.25">
      <c r="A936" s="7"/>
    </row>
    <row r="937" spans="1:1" ht="15.75" customHeight="1" x14ac:dyDescent="0.25">
      <c r="A937" s="7"/>
    </row>
    <row r="938" spans="1:1" ht="15.75" customHeight="1" x14ac:dyDescent="0.25">
      <c r="A938" s="7"/>
    </row>
    <row r="939" spans="1:1" ht="15.75" customHeight="1" x14ac:dyDescent="0.25">
      <c r="A939" s="7"/>
    </row>
    <row r="940" spans="1:1" ht="15.75" customHeight="1" x14ac:dyDescent="0.25">
      <c r="A940" s="7"/>
    </row>
    <row r="941" spans="1:1" ht="15.75" customHeight="1" x14ac:dyDescent="0.25">
      <c r="A941" s="7"/>
    </row>
    <row r="942" spans="1:1" ht="15.75" customHeight="1" x14ac:dyDescent="0.25">
      <c r="A942" s="7"/>
    </row>
    <row r="943" spans="1:1" ht="15.75" customHeight="1" x14ac:dyDescent="0.25">
      <c r="A943" s="7"/>
    </row>
    <row r="944" spans="1:1" ht="15.75" customHeight="1" x14ac:dyDescent="0.25">
      <c r="A944" s="7"/>
    </row>
    <row r="945" spans="1:1" ht="15.75" customHeight="1" x14ac:dyDescent="0.25">
      <c r="A945" s="7"/>
    </row>
    <row r="946" spans="1:1" ht="15.75" customHeight="1" x14ac:dyDescent="0.25">
      <c r="A946" s="7"/>
    </row>
    <row r="947" spans="1:1" ht="15.75" customHeight="1" x14ac:dyDescent="0.25">
      <c r="A947" s="7"/>
    </row>
    <row r="948" spans="1:1" ht="15.75" customHeight="1" x14ac:dyDescent="0.25">
      <c r="A948" s="7"/>
    </row>
    <row r="949" spans="1:1" ht="15.75" customHeight="1" x14ac:dyDescent="0.25">
      <c r="A949" s="7"/>
    </row>
    <row r="950" spans="1:1" ht="15.75" customHeight="1" x14ac:dyDescent="0.25">
      <c r="A950" s="7"/>
    </row>
    <row r="951" spans="1:1" ht="15.75" customHeight="1" x14ac:dyDescent="0.25">
      <c r="A951" s="7"/>
    </row>
    <row r="952" spans="1:1" ht="15.75" customHeight="1" x14ac:dyDescent="0.25">
      <c r="A952" s="7"/>
    </row>
    <row r="953" spans="1:1" ht="15.75" customHeight="1" x14ac:dyDescent="0.25">
      <c r="A953" s="7"/>
    </row>
    <row r="954" spans="1:1" ht="15.75" customHeight="1" x14ac:dyDescent="0.25">
      <c r="A954" s="7"/>
    </row>
    <row r="955" spans="1:1" ht="15.75" customHeight="1" x14ac:dyDescent="0.25">
      <c r="A955" s="7"/>
    </row>
    <row r="956" spans="1:1" ht="15.75" customHeight="1" x14ac:dyDescent="0.25">
      <c r="A956" s="7"/>
    </row>
    <row r="957" spans="1:1" ht="15.75" customHeight="1" x14ac:dyDescent="0.25">
      <c r="A957" s="7"/>
    </row>
    <row r="958" spans="1:1" ht="15.75" customHeight="1" x14ac:dyDescent="0.25">
      <c r="A958" s="7"/>
    </row>
    <row r="959" spans="1:1" ht="15.75" customHeight="1" x14ac:dyDescent="0.25">
      <c r="A959" s="7"/>
    </row>
    <row r="960" spans="1:1" ht="15.75" customHeight="1" x14ac:dyDescent="0.25">
      <c r="A960" s="7"/>
    </row>
    <row r="961" spans="1:1" ht="15.75" customHeight="1" x14ac:dyDescent="0.25">
      <c r="A961" s="7"/>
    </row>
    <row r="962" spans="1:1" ht="15.75" customHeight="1" x14ac:dyDescent="0.25">
      <c r="A962" s="7"/>
    </row>
    <row r="963" spans="1:1" ht="15.75" customHeight="1" x14ac:dyDescent="0.25">
      <c r="A963" s="7"/>
    </row>
    <row r="964" spans="1:1" ht="15.75" customHeight="1" x14ac:dyDescent="0.25">
      <c r="A964" s="7"/>
    </row>
    <row r="965" spans="1:1" ht="15.75" customHeight="1" x14ac:dyDescent="0.25">
      <c r="A965" s="7"/>
    </row>
    <row r="966" spans="1:1" ht="15.75" customHeight="1" x14ac:dyDescent="0.25">
      <c r="A966" s="7"/>
    </row>
    <row r="967" spans="1:1" ht="15.75" customHeight="1" x14ac:dyDescent="0.25">
      <c r="A967" s="7"/>
    </row>
    <row r="968" spans="1:1" ht="15.75" customHeight="1" x14ac:dyDescent="0.25">
      <c r="A968" s="7"/>
    </row>
    <row r="969" spans="1:1" ht="15.75" customHeight="1" x14ac:dyDescent="0.25">
      <c r="A969" s="7"/>
    </row>
    <row r="970" spans="1:1" ht="15.75" customHeight="1" x14ac:dyDescent="0.25">
      <c r="A970" s="7"/>
    </row>
    <row r="971" spans="1:1" ht="15.75" customHeight="1" x14ac:dyDescent="0.25">
      <c r="A971" s="7"/>
    </row>
    <row r="972" spans="1:1" ht="15.75" customHeight="1" x14ac:dyDescent="0.25">
      <c r="A972" s="7"/>
    </row>
    <row r="973" spans="1:1" ht="15.75" customHeight="1" x14ac:dyDescent="0.25">
      <c r="A973" s="7"/>
    </row>
    <row r="974" spans="1:1" ht="15.75" customHeight="1" x14ac:dyDescent="0.25">
      <c r="A974" s="7"/>
    </row>
    <row r="975" spans="1:1" ht="15.75" customHeight="1" x14ac:dyDescent="0.25">
      <c r="A975" s="7"/>
    </row>
    <row r="976" spans="1:1" ht="15.75" customHeight="1" x14ac:dyDescent="0.25">
      <c r="A976" s="7"/>
    </row>
    <row r="977" spans="1:1" ht="15.75" customHeight="1" x14ac:dyDescent="0.25">
      <c r="A977" s="7"/>
    </row>
    <row r="978" spans="1:1" ht="15.75" customHeight="1" x14ac:dyDescent="0.25">
      <c r="A978" s="7"/>
    </row>
    <row r="979" spans="1:1" ht="15.75" customHeight="1" x14ac:dyDescent="0.25">
      <c r="A979" s="7"/>
    </row>
    <row r="980" spans="1:1" ht="15.75" customHeight="1" x14ac:dyDescent="0.25">
      <c r="A980" s="7"/>
    </row>
    <row r="981" spans="1:1" ht="15.75" customHeight="1" x14ac:dyDescent="0.25">
      <c r="A981" s="7"/>
    </row>
    <row r="982" spans="1:1" ht="15.75" customHeight="1" x14ac:dyDescent="0.25">
      <c r="A982" s="7"/>
    </row>
    <row r="983" spans="1:1" ht="15.75" customHeight="1" x14ac:dyDescent="0.25">
      <c r="A983" s="7"/>
    </row>
    <row r="984" spans="1:1" ht="15.75" customHeight="1" x14ac:dyDescent="0.25">
      <c r="A984" s="7"/>
    </row>
    <row r="985" spans="1:1" ht="15.75" customHeight="1" x14ac:dyDescent="0.25">
      <c r="A985" s="7"/>
    </row>
    <row r="986" spans="1:1" ht="15.75" customHeight="1" x14ac:dyDescent="0.25">
      <c r="A986" s="7"/>
    </row>
    <row r="987" spans="1:1" ht="15.75" customHeight="1" x14ac:dyDescent="0.25">
      <c r="A987" s="7"/>
    </row>
    <row r="988" spans="1:1" ht="15.75" customHeight="1" x14ac:dyDescent="0.25">
      <c r="A988" s="7"/>
    </row>
    <row r="989" spans="1:1" ht="15.75" customHeight="1" x14ac:dyDescent="0.25">
      <c r="A989" s="7"/>
    </row>
    <row r="990" spans="1:1" ht="15.75" customHeight="1" x14ac:dyDescent="0.25">
      <c r="A990" s="7"/>
    </row>
    <row r="991" spans="1:1" ht="15.75" customHeight="1" x14ac:dyDescent="0.25">
      <c r="A991" s="7"/>
    </row>
    <row r="992" spans="1:1" ht="15.75" customHeight="1" x14ac:dyDescent="0.25">
      <c r="A992" s="7"/>
    </row>
    <row r="993" spans="1:1" ht="15.75" customHeight="1" x14ac:dyDescent="0.25">
      <c r="A993" s="7"/>
    </row>
    <row r="994" spans="1:1" ht="15.75" customHeight="1" x14ac:dyDescent="0.25">
      <c r="A994" s="7"/>
    </row>
    <row r="995" spans="1:1" ht="15.75" customHeight="1" x14ac:dyDescent="0.25">
      <c r="A995" s="7"/>
    </row>
    <row r="996" spans="1:1" ht="15.75" customHeight="1" x14ac:dyDescent="0.25">
      <c r="A996" s="7"/>
    </row>
    <row r="997" spans="1:1" ht="15.75" customHeight="1" x14ac:dyDescent="0.25">
      <c r="A997" s="7"/>
    </row>
    <row r="998" spans="1:1" ht="15.75" customHeight="1" x14ac:dyDescent="0.25">
      <c r="A998" s="7"/>
    </row>
    <row r="999" spans="1:1" ht="15.75" customHeight="1" x14ac:dyDescent="0.25">
      <c r="A999" s="7"/>
    </row>
    <row r="1000" spans="1:1" ht="15.75" customHeight="1" x14ac:dyDescent="0.25">
      <c r="A1000" s="7"/>
    </row>
  </sheetData>
  <sheetProtection algorithmName="SHA-512" hashValue="3V3I/y3RRiLyYJEc/mBsZ6Yn/wQndVm9FDWNtRd3lnFLkAIrXFNL2/oqzvgfag2r35llOVQlxOfa+GrOqAOIZA==" saltValue="S+zjoZ5ZyfAkonTIifXfxQ==" spinCount="100000" sheet="1" objects="1" scenarios="1"/>
  <mergeCells count="6">
    <mergeCell ref="B132:H132"/>
    <mergeCell ref="B1:H1"/>
    <mergeCell ref="B27:H27"/>
    <mergeCell ref="B54:H54"/>
    <mergeCell ref="B72:H72"/>
    <mergeCell ref="B109:H109"/>
  </mergeCells>
  <pageMargins left="0.7" right="0.7" top="0.75" bottom="0.75" header="0" footer="0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00"/>
  <sheetViews>
    <sheetView zoomScale="70" zoomScaleNormal="70" workbookViewId="0">
      <selection activeCell="N19" sqref="N19"/>
    </sheetView>
  </sheetViews>
  <sheetFormatPr defaultColWidth="14.42578125" defaultRowHeight="15" customHeight="1" x14ac:dyDescent="0.25"/>
  <cols>
    <col min="1" max="1" width="9.140625" style="42" customWidth="1"/>
    <col min="2" max="2" width="45.7109375" style="42" customWidth="1"/>
    <col min="3" max="3" width="8.85546875" style="42" customWidth="1"/>
    <col min="4" max="4" width="8.140625" style="42" customWidth="1"/>
    <col min="5" max="7" width="8.7109375" style="42" customWidth="1"/>
    <col min="8" max="8" width="13.140625" style="42" customWidth="1"/>
    <col min="9" max="10" width="8.7109375" style="42" customWidth="1"/>
    <col min="11" max="11" width="39.28515625" style="42" customWidth="1"/>
    <col min="12" max="26" width="8.7109375" style="42" customWidth="1"/>
    <col min="27" max="16384" width="14.42578125" style="42"/>
  </cols>
  <sheetData>
    <row r="1" spans="1:16" ht="18.75" x14ac:dyDescent="0.3">
      <c r="A1" s="1"/>
      <c r="B1" s="173" t="s">
        <v>2</v>
      </c>
      <c r="C1" s="174"/>
      <c r="D1" s="174"/>
      <c r="E1" s="174"/>
      <c r="F1" s="174"/>
      <c r="G1" s="174"/>
      <c r="H1" s="134"/>
      <c r="I1" s="1"/>
    </row>
    <row r="2" spans="1:16" ht="15.75" thickBot="1" x14ac:dyDescent="0.3">
      <c r="A2" s="1"/>
      <c r="B2" s="8" t="s">
        <v>8</v>
      </c>
      <c r="C2" s="8" t="s">
        <v>11</v>
      </c>
      <c r="D2" s="9" t="e">
        <f>VLOOKUP(B2,'Nutrition Plan'!$D$99:$F$109,3,0)</f>
        <v>#N/A</v>
      </c>
      <c r="E2" s="10" t="e">
        <f>D2/(1/10)</f>
        <v>#N/A</v>
      </c>
      <c r="F2" s="11" t="e">
        <f>D2/(1/0.2)</f>
        <v>#N/A</v>
      </c>
      <c r="G2" s="10" t="e">
        <f>D2/(1/50)</f>
        <v>#N/A</v>
      </c>
      <c r="H2" s="12" t="e">
        <f t="shared" ref="H2:H26" si="0">(E2*4)+(F2*9)+(G2*4)</f>
        <v>#N/A</v>
      </c>
      <c r="I2" s="1"/>
    </row>
    <row r="3" spans="1:16" ht="16.5" thickTop="1" thickBot="1" x14ac:dyDescent="0.3">
      <c r="A3" s="1"/>
      <c r="B3" s="8" t="s">
        <v>21</v>
      </c>
      <c r="C3" s="8" t="s">
        <v>22</v>
      </c>
      <c r="D3" s="9" t="e">
        <f>VLOOKUP(B3,'Nutrition Plan'!$D$99:$F$109,3,0)</f>
        <v>#N/A</v>
      </c>
      <c r="E3" s="10" t="e">
        <f>D3/(1/4)</f>
        <v>#N/A</v>
      </c>
      <c r="F3" s="11" t="e">
        <f>D3/(1/0.5)</f>
        <v>#N/A</v>
      </c>
      <c r="G3" s="10" t="e">
        <f>D3/(1/15)</f>
        <v>#N/A</v>
      </c>
      <c r="H3" s="12" t="e">
        <f t="shared" si="0"/>
        <v>#N/A</v>
      </c>
      <c r="I3" s="1"/>
      <c r="K3" s="7" t="s">
        <v>168</v>
      </c>
      <c r="M3" s="42">
        <v>1.5</v>
      </c>
      <c r="N3" s="42">
        <v>0.3</v>
      </c>
      <c r="O3" s="42">
        <v>5</v>
      </c>
      <c r="P3" s="42">
        <v>1</v>
      </c>
    </row>
    <row r="4" spans="1:16" ht="16.5" thickTop="1" thickBot="1" x14ac:dyDescent="0.3">
      <c r="A4" s="1"/>
      <c r="B4" s="8" t="s">
        <v>25</v>
      </c>
      <c r="C4" s="8" t="s">
        <v>7</v>
      </c>
      <c r="D4" s="9" t="e">
        <f>VLOOKUP(B4,'Nutrition Plan'!$D$99:$F$109,3,0)</f>
        <v>#N/A</v>
      </c>
      <c r="E4" s="10" t="e">
        <f>D4/(28/3)</f>
        <v>#N/A</v>
      </c>
      <c r="F4" s="11" t="e">
        <f>D4/(28/2)</f>
        <v>#N/A</v>
      </c>
      <c r="G4" s="10" t="e">
        <f>D4/(28/20)</f>
        <v>#N/A</v>
      </c>
      <c r="H4" s="12" t="e">
        <f t="shared" si="0"/>
        <v>#N/A</v>
      </c>
      <c r="I4" s="1"/>
      <c r="K4" s="7" t="s">
        <v>26</v>
      </c>
      <c r="M4" s="42">
        <v>1.6</v>
      </c>
      <c r="N4" s="42">
        <v>0.31</v>
      </c>
      <c r="O4" s="42">
        <v>8</v>
      </c>
      <c r="P4" s="42">
        <v>2</v>
      </c>
    </row>
    <row r="5" spans="1:16" ht="16.5" thickTop="1" thickBot="1" x14ac:dyDescent="0.3">
      <c r="A5" s="1"/>
      <c r="B5" s="8" t="s">
        <v>27</v>
      </c>
      <c r="C5" s="8" t="s">
        <v>7</v>
      </c>
      <c r="D5" s="9" t="e">
        <f>VLOOKUP(B5,'Nutrition Plan'!$D$99:$F$109,3,0)</f>
        <v>#N/A</v>
      </c>
      <c r="E5" s="10" t="e">
        <f>D5/(57/8)</f>
        <v>#N/A</v>
      </c>
      <c r="F5" s="11">
        <v>0</v>
      </c>
      <c r="G5" s="10" t="e">
        <f>D5/(57/40)</f>
        <v>#N/A</v>
      </c>
      <c r="H5" s="12" t="e">
        <f t="shared" si="0"/>
        <v>#N/A</v>
      </c>
      <c r="I5" s="1"/>
      <c r="K5" s="7" t="s">
        <v>169</v>
      </c>
      <c r="M5" s="42">
        <v>1.7</v>
      </c>
      <c r="N5" s="42">
        <v>0.32</v>
      </c>
      <c r="O5" s="42">
        <v>10</v>
      </c>
      <c r="P5" s="42">
        <v>3</v>
      </c>
    </row>
    <row r="6" spans="1:16" ht="16.5" thickTop="1" thickBot="1" x14ac:dyDescent="0.3">
      <c r="A6" s="1"/>
      <c r="B6" s="8" t="s">
        <v>28</v>
      </c>
      <c r="C6" s="8" t="s">
        <v>7</v>
      </c>
      <c r="D6" s="9" t="e">
        <f>VLOOKUP(B6,'Nutrition Plan'!$D$99:$F$109,3,0)</f>
        <v>#N/A</v>
      </c>
      <c r="E6" s="10" t="e">
        <f>D6/(14/1)</f>
        <v>#N/A</v>
      </c>
      <c r="F6" s="11">
        <f>0</f>
        <v>0</v>
      </c>
      <c r="G6" s="10" t="e">
        <f>D6/(14/12)</f>
        <v>#N/A</v>
      </c>
      <c r="H6" s="12" t="e">
        <f t="shared" si="0"/>
        <v>#N/A</v>
      </c>
      <c r="I6" s="1"/>
      <c r="K6" s="7" t="s">
        <v>33</v>
      </c>
      <c r="M6" s="42">
        <v>1.8</v>
      </c>
      <c r="N6" s="42">
        <v>0.33</v>
      </c>
      <c r="O6" s="42">
        <v>12</v>
      </c>
      <c r="P6" s="42">
        <v>4</v>
      </c>
    </row>
    <row r="7" spans="1:16" ht="16.5" thickTop="1" thickBot="1" x14ac:dyDescent="0.3">
      <c r="A7" s="1"/>
      <c r="B7" s="8" t="s">
        <v>34</v>
      </c>
      <c r="C7" s="8" t="s">
        <v>7</v>
      </c>
      <c r="D7" s="9" t="e">
        <f>VLOOKUP(B7,'Nutrition Plan'!$D$99:$F$109,3,0)</f>
        <v>#N/A</v>
      </c>
      <c r="E7" s="10" t="e">
        <f>D7/(30/2)</f>
        <v>#N/A</v>
      </c>
      <c r="F7" s="11" t="e">
        <f>D7/(30/1)</f>
        <v>#N/A</v>
      </c>
      <c r="G7" s="10" t="e">
        <f>D7/(30/11)</f>
        <v>#N/A</v>
      </c>
      <c r="H7" s="12" t="e">
        <f t="shared" si="0"/>
        <v>#N/A</v>
      </c>
      <c r="I7" s="1"/>
      <c r="K7" s="7" t="s">
        <v>36</v>
      </c>
      <c r="M7" s="42">
        <v>1.9</v>
      </c>
      <c r="N7" s="42">
        <v>0.34</v>
      </c>
      <c r="O7" s="42">
        <v>15</v>
      </c>
      <c r="P7" s="42">
        <v>5</v>
      </c>
    </row>
    <row r="8" spans="1:16" ht="16.5" thickTop="1" thickBot="1" x14ac:dyDescent="0.3">
      <c r="A8" s="1"/>
      <c r="B8" s="8" t="s">
        <v>170</v>
      </c>
      <c r="C8" s="8" t="s">
        <v>7</v>
      </c>
      <c r="D8" s="9" t="e">
        <f>VLOOKUP(B8,'Nutrition Plan'!$D$99:$F$109,3,0)</f>
        <v>#N/A</v>
      </c>
      <c r="E8" s="10" t="e">
        <f>D8/(100/2)</f>
        <v>#N/A</v>
      </c>
      <c r="F8" s="11">
        <f>0</f>
        <v>0</v>
      </c>
      <c r="G8" s="10" t="e">
        <f>D8/(100/82.4)</f>
        <v>#N/A</v>
      </c>
      <c r="H8" s="12" t="e">
        <f t="shared" si="0"/>
        <v>#N/A</v>
      </c>
      <c r="I8" s="1"/>
      <c r="K8" s="7" t="s">
        <v>37</v>
      </c>
      <c r="M8" s="42">
        <v>2</v>
      </c>
      <c r="N8" s="42">
        <v>0.35</v>
      </c>
      <c r="P8" s="42">
        <v>6</v>
      </c>
    </row>
    <row r="9" spans="1:16" ht="16.5" thickTop="1" thickBot="1" x14ac:dyDescent="0.3">
      <c r="A9" s="1"/>
      <c r="B9" s="8" t="s">
        <v>171</v>
      </c>
      <c r="C9" s="8" t="s">
        <v>7</v>
      </c>
      <c r="D9" s="9" t="e">
        <f>VLOOKUP(B9,'Nutrition Plan'!$D$99:$F$109,3,0)</f>
        <v>#N/A</v>
      </c>
      <c r="E9" s="10">
        <v>0</v>
      </c>
      <c r="F9" s="11">
        <v>0</v>
      </c>
      <c r="G9" s="10" t="e">
        <f>D9/(28/4)</f>
        <v>#N/A</v>
      </c>
      <c r="H9" s="12" t="e">
        <f t="shared" si="0"/>
        <v>#N/A</v>
      </c>
      <c r="I9" s="1"/>
      <c r="M9" s="42">
        <v>2.1</v>
      </c>
      <c r="N9" s="42">
        <v>0.36</v>
      </c>
      <c r="P9" s="42">
        <v>7</v>
      </c>
    </row>
    <row r="10" spans="1:16" ht="16.5" thickTop="1" thickBot="1" x14ac:dyDescent="0.3">
      <c r="A10" s="1"/>
      <c r="B10" s="8" t="s">
        <v>172</v>
      </c>
      <c r="C10" s="8" t="s">
        <v>7</v>
      </c>
      <c r="D10" s="9" t="e">
        <f>VLOOKUP(B10,'Nutrition Plan'!$D$99:$F$109,3,0)</f>
        <v>#N/A</v>
      </c>
      <c r="E10" s="10" t="e">
        <f>D10/(45/7)</f>
        <v>#N/A</v>
      </c>
      <c r="F10" s="11" t="e">
        <f>D10/(45/3)</f>
        <v>#N/A</v>
      </c>
      <c r="G10" s="10" t="e">
        <f>D10/(45/30)</f>
        <v>#N/A</v>
      </c>
      <c r="H10" s="12" t="e">
        <f t="shared" si="0"/>
        <v>#N/A</v>
      </c>
      <c r="I10" s="1"/>
      <c r="M10" s="42">
        <v>2.2000000000000002</v>
      </c>
      <c r="N10" s="42">
        <v>0.37</v>
      </c>
    </row>
    <row r="11" spans="1:16" ht="16.5" thickTop="1" thickBot="1" x14ac:dyDescent="0.3">
      <c r="A11" s="1"/>
      <c r="B11" s="8" t="s">
        <v>38</v>
      </c>
      <c r="C11" s="8" t="s">
        <v>7</v>
      </c>
      <c r="D11" s="9" t="e">
        <f>VLOOKUP(B11,'Nutrition Plan'!$D$99:$F$109,3,0)</f>
        <v>#N/A</v>
      </c>
      <c r="E11" s="10" t="e">
        <f t="shared" ref="E11:E12" si="1">D11/(40/5)</f>
        <v>#N/A</v>
      </c>
      <c r="F11" s="11" t="e">
        <f>D11/(40/3)</f>
        <v>#N/A</v>
      </c>
      <c r="G11" s="10" t="e">
        <f t="shared" ref="G11:G12" si="2">D11/(40/27)</f>
        <v>#N/A</v>
      </c>
      <c r="H11" s="12" t="e">
        <f t="shared" si="0"/>
        <v>#N/A</v>
      </c>
      <c r="I11" s="1"/>
      <c r="M11" s="42">
        <v>2.2999999999999998</v>
      </c>
      <c r="N11" s="42">
        <v>0.38</v>
      </c>
    </row>
    <row r="12" spans="1:16" ht="16.5" thickTop="1" thickBot="1" x14ac:dyDescent="0.3">
      <c r="A12" s="1"/>
      <c r="B12" s="8" t="s">
        <v>173</v>
      </c>
      <c r="C12" s="8" t="s">
        <v>7</v>
      </c>
      <c r="D12" s="9" t="e">
        <f>VLOOKUP(B12,'Nutrition Plan'!$D$99:$F$109,3,0)</f>
        <v>#N/A</v>
      </c>
      <c r="E12" s="10" t="e">
        <f t="shared" si="1"/>
        <v>#N/A</v>
      </c>
      <c r="F12" s="11" t="e">
        <f>D12/(40/2.5)</f>
        <v>#N/A</v>
      </c>
      <c r="G12" s="10" t="e">
        <f t="shared" si="2"/>
        <v>#N/A</v>
      </c>
      <c r="H12" s="12" t="e">
        <f t="shared" si="0"/>
        <v>#N/A</v>
      </c>
      <c r="I12" s="1"/>
      <c r="M12" s="42">
        <v>2.4</v>
      </c>
      <c r="N12" s="42">
        <v>0.39</v>
      </c>
    </row>
    <row r="13" spans="1:16" ht="16.5" thickTop="1" thickBot="1" x14ac:dyDescent="0.3">
      <c r="A13" s="1"/>
      <c r="B13" s="8" t="s">
        <v>41</v>
      </c>
      <c r="C13" s="8" t="s">
        <v>7</v>
      </c>
      <c r="D13" s="9" t="e">
        <f>VLOOKUP(B13,'Nutrition Plan'!$D$99:$F$109,3,0)</f>
        <v>#N/A</v>
      </c>
      <c r="E13" s="10" t="e">
        <f>D13/(47/4)</f>
        <v>#N/A</v>
      </c>
      <c r="F13" s="11" t="e">
        <f>D13/(47/0.5)</f>
        <v>#N/A</v>
      </c>
      <c r="G13" s="10" t="e">
        <f>D13/(47/33)</f>
        <v>#N/A</v>
      </c>
      <c r="H13" s="12" t="e">
        <f t="shared" si="0"/>
        <v>#N/A</v>
      </c>
      <c r="I13" s="1"/>
      <c r="M13" s="42">
        <v>2.5</v>
      </c>
      <c r="N13" s="42">
        <v>0.4</v>
      </c>
    </row>
    <row r="14" spans="1:16" ht="16.5" thickTop="1" thickBot="1" x14ac:dyDescent="0.3">
      <c r="A14" s="1"/>
      <c r="B14" s="8" t="s">
        <v>42</v>
      </c>
      <c r="C14" s="8" t="s">
        <v>7</v>
      </c>
      <c r="D14" s="9" t="e">
        <f>VLOOKUP(B14,'Nutrition Plan'!$D$99:$F$109,3,0)</f>
        <v>#N/A</v>
      </c>
      <c r="E14" s="10" t="e">
        <f>D14/(38/4)</f>
        <v>#N/A</v>
      </c>
      <c r="F14" s="11" t="e">
        <f>D14/(38/0.5)</f>
        <v>#N/A</v>
      </c>
      <c r="G14" s="10" t="e">
        <f>D14/(38/26)</f>
        <v>#N/A</v>
      </c>
      <c r="H14" s="12" t="e">
        <f t="shared" si="0"/>
        <v>#N/A</v>
      </c>
      <c r="I14" s="1"/>
      <c r="N14" s="42">
        <v>0.41</v>
      </c>
    </row>
    <row r="15" spans="1:16" ht="16.5" thickTop="1" thickBot="1" x14ac:dyDescent="0.3">
      <c r="A15" s="1"/>
      <c r="B15" s="8" t="s">
        <v>43</v>
      </c>
      <c r="C15" s="8" t="s">
        <v>7</v>
      </c>
      <c r="D15" s="9" t="e">
        <f>VLOOKUP(B15,'Nutrition Plan'!$D$99:$F$109,3,0)</f>
        <v>#N/A</v>
      </c>
      <c r="E15" s="10" t="e">
        <f>D15/(42/1)</f>
        <v>#N/A</v>
      </c>
      <c r="F15" s="11" t="e">
        <f>D15/(42/0.5)</f>
        <v>#N/A</v>
      </c>
      <c r="G15" s="10" t="e">
        <f>D15/(42/32)</f>
        <v>#N/A</v>
      </c>
      <c r="H15" s="12" t="e">
        <f t="shared" si="0"/>
        <v>#N/A</v>
      </c>
      <c r="I15" s="1"/>
      <c r="N15" s="42">
        <v>0.42</v>
      </c>
    </row>
    <row r="16" spans="1:16" ht="16.5" thickTop="1" thickBot="1" x14ac:dyDescent="0.3">
      <c r="A16" s="1"/>
      <c r="B16" s="8" t="s">
        <v>174</v>
      </c>
      <c r="C16" s="8" t="s">
        <v>7</v>
      </c>
      <c r="D16" s="9" t="e">
        <f>VLOOKUP(B16,'Nutrition Plan'!$D$99:$F$109,3,0)</f>
        <v>#N/A</v>
      </c>
      <c r="E16" s="10" t="e">
        <f>D16/(28/1.5)</f>
        <v>#N/A</v>
      </c>
      <c r="F16" s="11" t="e">
        <f>D16/(28/0.15)</f>
        <v>#N/A</v>
      </c>
      <c r="G16" s="10" t="e">
        <f>D16/(28/7.45)</f>
        <v>#N/A</v>
      </c>
      <c r="H16" s="12" t="e">
        <f t="shared" si="0"/>
        <v>#N/A</v>
      </c>
      <c r="I16" s="1"/>
      <c r="N16" s="42">
        <v>0.43</v>
      </c>
    </row>
    <row r="17" spans="1:14" ht="16.5" thickTop="1" thickBot="1" x14ac:dyDescent="0.3">
      <c r="A17" s="1"/>
      <c r="B17" s="8" t="s">
        <v>44</v>
      </c>
      <c r="C17" s="8" t="s">
        <v>45</v>
      </c>
      <c r="D17" s="9" t="e">
        <f>VLOOKUP(B17,'Nutrition Plan'!$D$99:$F$109,3,0)</f>
        <v>#N/A</v>
      </c>
      <c r="E17" s="10" t="e">
        <f>D17/(1/1)</f>
        <v>#N/A</v>
      </c>
      <c r="F17" s="11">
        <f>0</f>
        <v>0</v>
      </c>
      <c r="G17" s="10" t="e">
        <f>D17/(1/8)</f>
        <v>#N/A</v>
      </c>
      <c r="H17" s="12" t="e">
        <f t="shared" si="0"/>
        <v>#N/A</v>
      </c>
      <c r="I17" s="1"/>
      <c r="N17" s="42">
        <v>0.44</v>
      </c>
    </row>
    <row r="18" spans="1:14" ht="16.5" thickTop="1" thickBot="1" x14ac:dyDescent="0.3">
      <c r="A18" s="1"/>
      <c r="B18" s="8" t="s">
        <v>175</v>
      </c>
      <c r="C18" s="8" t="s">
        <v>7</v>
      </c>
      <c r="D18" s="9" t="e">
        <f>VLOOKUP(B18,'Nutrition Plan'!$D$99:$F$109,3,0)</f>
        <v>#N/A</v>
      </c>
      <c r="E18" s="10" t="e">
        <f>D18/(100/2.32)</f>
        <v>#N/A</v>
      </c>
      <c r="F18" s="11" t="e">
        <f>D18/(100/0.83)</f>
        <v>#N/A</v>
      </c>
      <c r="G18" s="10" t="e">
        <f>D18/(100/23.51)</f>
        <v>#N/A</v>
      </c>
      <c r="H18" s="12" t="e">
        <f t="shared" si="0"/>
        <v>#N/A</v>
      </c>
      <c r="I18" s="1"/>
      <c r="N18" s="42">
        <v>0.45</v>
      </c>
    </row>
    <row r="19" spans="1:14" ht="16.5" thickTop="1" thickBot="1" x14ac:dyDescent="0.3">
      <c r="A19" s="1"/>
      <c r="B19" s="8" t="s">
        <v>176</v>
      </c>
      <c r="C19" s="8" t="s">
        <v>7</v>
      </c>
      <c r="D19" s="9" t="e">
        <f>VLOOKUP(B19,'Nutrition Plan'!$D$99:$F$109,3,0)</f>
        <v>#N/A</v>
      </c>
      <c r="E19" s="10" t="e">
        <f>D19/(200/4.2)</f>
        <v>#N/A</v>
      </c>
      <c r="F19" s="11" t="e">
        <f>D19/(200/0.44)</f>
        <v>#N/A</v>
      </c>
      <c r="G19" s="10" t="e">
        <f>D19/(200/45)</f>
        <v>#N/A</v>
      </c>
      <c r="H19" s="12" t="e">
        <f t="shared" si="0"/>
        <v>#N/A</v>
      </c>
      <c r="I19" s="1"/>
      <c r="N19" s="42">
        <v>0.46</v>
      </c>
    </row>
    <row r="20" spans="1:14" ht="16.5" thickTop="1" thickBot="1" x14ac:dyDescent="0.3">
      <c r="A20" s="1"/>
      <c r="B20" s="8" t="s">
        <v>177</v>
      </c>
      <c r="C20" s="8" t="s">
        <v>7</v>
      </c>
      <c r="D20" s="9" t="e">
        <f>VLOOKUP(B20,'Nutrition Plan'!$D$99:$F$109,3,0)</f>
        <v>#N/A</v>
      </c>
      <c r="E20" s="10" t="e">
        <f>D20/(100/2.38)</f>
        <v>#N/A</v>
      </c>
      <c r="F20" s="11" t="e">
        <f>D20/(100/0.21)</f>
        <v>#N/A</v>
      </c>
      <c r="G20" s="10" t="e">
        <f>D20/(100/28.59)</f>
        <v>#N/A</v>
      </c>
      <c r="H20" s="12" t="e">
        <f t="shared" si="0"/>
        <v>#N/A</v>
      </c>
      <c r="I20" s="1"/>
      <c r="N20" s="42">
        <v>0.47</v>
      </c>
    </row>
    <row r="21" spans="1:14" ht="15.75" customHeight="1" thickTop="1" thickBot="1" x14ac:dyDescent="0.3">
      <c r="A21" s="1"/>
      <c r="B21" s="8" t="s">
        <v>178</v>
      </c>
      <c r="C21" s="8" t="s">
        <v>7</v>
      </c>
      <c r="D21" s="9" t="e">
        <f>VLOOKUP(B21,'Nutrition Plan'!$D$99:$F$109,3,0)</f>
        <v>#N/A</v>
      </c>
      <c r="E21" s="10" t="e">
        <f>D21/(100/2)</f>
        <v>#N/A</v>
      </c>
      <c r="F21" s="11">
        <v>0</v>
      </c>
      <c r="G21" s="10" t="e">
        <f>D21/(100/20)</f>
        <v>#N/A</v>
      </c>
      <c r="H21" s="12" t="e">
        <f t="shared" si="0"/>
        <v>#N/A</v>
      </c>
      <c r="I21" s="1"/>
      <c r="N21" s="42">
        <v>0.48</v>
      </c>
    </row>
    <row r="22" spans="1:14" ht="15.75" customHeight="1" thickTop="1" thickBot="1" x14ac:dyDescent="0.3">
      <c r="A22" s="1"/>
      <c r="B22" s="8" t="s">
        <v>48</v>
      </c>
      <c r="C22" s="8" t="s">
        <v>7</v>
      </c>
      <c r="D22" s="9" t="e">
        <f>VLOOKUP(B22,'Nutrition Plan'!$D$99:$F$109,3,0)</f>
        <v>#N/A</v>
      </c>
      <c r="E22" s="10" t="e">
        <f t="shared" ref="E22:E23" si="3">D22/(70/5)</f>
        <v>#N/A</v>
      </c>
      <c r="F22" s="11" t="e">
        <f>D22/(70/8)</f>
        <v>#N/A</v>
      </c>
      <c r="G22" s="10" t="e">
        <f t="shared" ref="G22:G23" si="4">D22/(70/27)</f>
        <v>#N/A</v>
      </c>
      <c r="H22" s="12" t="e">
        <f t="shared" si="0"/>
        <v>#N/A</v>
      </c>
      <c r="I22" s="1"/>
      <c r="N22" s="42">
        <v>0.49</v>
      </c>
    </row>
    <row r="23" spans="1:14" ht="15.75" customHeight="1" thickTop="1" thickBot="1" x14ac:dyDescent="0.3">
      <c r="A23" s="1"/>
      <c r="B23" s="8" t="s">
        <v>51</v>
      </c>
      <c r="C23" s="8" t="s">
        <v>7</v>
      </c>
      <c r="D23" s="9" t="e">
        <f>VLOOKUP(B23,'Nutrition Plan'!$D$99:$F$109,3,0)</f>
        <v>#N/A</v>
      </c>
      <c r="E23" s="10" t="e">
        <f t="shared" si="3"/>
        <v>#N/A</v>
      </c>
      <c r="F23" s="11" t="e">
        <f>D23/(70/2.5)</f>
        <v>#N/A</v>
      </c>
      <c r="G23" s="10" t="e">
        <f t="shared" si="4"/>
        <v>#N/A</v>
      </c>
      <c r="H23" s="12" t="e">
        <f t="shared" si="0"/>
        <v>#N/A</v>
      </c>
      <c r="I23" s="1"/>
      <c r="N23" s="42">
        <v>0.5</v>
      </c>
    </row>
    <row r="24" spans="1:14" ht="15.75" customHeight="1" thickTop="1" thickBot="1" x14ac:dyDescent="0.3">
      <c r="A24" s="1"/>
      <c r="B24" s="8" t="s">
        <v>54</v>
      </c>
      <c r="C24" s="8" t="s">
        <v>55</v>
      </c>
      <c r="D24" s="9" t="e">
        <f>VLOOKUP(B24,'Nutrition Plan'!$D$99:$F$109,3,0)</f>
        <v>#N/A</v>
      </c>
      <c r="E24" s="10" t="e">
        <f>D24/(2/5)</f>
        <v>#N/A</v>
      </c>
      <c r="F24" s="11" t="e">
        <f>D24/(2/5)</f>
        <v>#N/A</v>
      </c>
      <c r="G24" s="10" t="e">
        <f>D24/(2/25)</f>
        <v>#N/A</v>
      </c>
      <c r="H24" s="12" t="e">
        <f t="shared" si="0"/>
        <v>#N/A</v>
      </c>
      <c r="I24" s="1"/>
    </row>
    <row r="25" spans="1:14" ht="15.75" customHeight="1" thickTop="1" thickBot="1" x14ac:dyDescent="0.3">
      <c r="A25" s="1"/>
      <c r="B25" s="8" t="s">
        <v>179</v>
      </c>
      <c r="C25" s="8" t="s">
        <v>7</v>
      </c>
      <c r="D25" s="9" t="e">
        <f>VLOOKUP(B25,'Nutrition Plan'!$D$99:$F$109,3,0)</f>
        <v>#N/A</v>
      </c>
      <c r="E25" s="10" t="e">
        <f>D25/(100/2.4)</f>
        <v>#N/A</v>
      </c>
      <c r="F25" s="11" t="e">
        <f>D25/(100/0.15)</f>
        <v>#N/A</v>
      </c>
      <c r="G25" s="10" t="e">
        <f>D25/(100/24.2)</f>
        <v>#N/A</v>
      </c>
      <c r="H25" s="12" t="e">
        <f t="shared" si="0"/>
        <v>#N/A</v>
      </c>
      <c r="I25" s="1"/>
    </row>
    <row r="26" spans="1:14" ht="15.75" customHeight="1" thickTop="1" thickBot="1" x14ac:dyDescent="0.3">
      <c r="A26" s="1"/>
      <c r="B26" s="8" t="s">
        <v>57</v>
      </c>
      <c r="C26" s="8" t="s">
        <v>58</v>
      </c>
      <c r="D26" s="9" t="e">
        <f>VLOOKUP(B26,'Nutrition Plan'!$D$99:$F$109,3,0)</f>
        <v>#N/A</v>
      </c>
      <c r="E26" s="10" t="e">
        <f>D26/(1/8)</f>
        <v>#N/A</v>
      </c>
      <c r="F26" s="11" t="e">
        <f>D26/(1/3)</f>
        <v>#N/A</v>
      </c>
      <c r="G26" s="10" t="e">
        <f>D26/(1/7)</f>
        <v>#N/A</v>
      </c>
      <c r="H26" s="12" t="e">
        <f t="shared" si="0"/>
        <v>#N/A</v>
      </c>
      <c r="I26" s="1"/>
    </row>
    <row r="27" spans="1:14" ht="15.75" customHeight="1" thickTop="1" x14ac:dyDescent="0.3">
      <c r="A27" s="1"/>
      <c r="B27" s="173" t="s">
        <v>26</v>
      </c>
      <c r="C27" s="174"/>
      <c r="D27" s="174"/>
      <c r="E27" s="174"/>
      <c r="F27" s="174"/>
      <c r="G27" s="174"/>
      <c r="H27" s="134"/>
      <c r="I27" s="1"/>
    </row>
    <row r="28" spans="1:14" ht="15.75" customHeight="1" thickBot="1" x14ac:dyDescent="0.3">
      <c r="A28" s="1"/>
      <c r="B28" s="8" t="s">
        <v>60</v>
      </c>
      <c r="C28" s="8" t="s">
        <v>7</v>
      </c>
      <c r="D28" s="9" t="e">
        <f>VLOOKUP(B28,'Nutrition Plan'!$D$99:$F$109,3,0)</f>
        <v>#N/A</v>
      </c>
      <c r="E28" s="10" t="e">
        <f>D28/(28/2.95)</f>
        <v>#N/A</v>
      </c>
      <c r="F28" s="11" t="e">
        <f>D28/(28/0.64)</f>
        <v>#N/A</v>
      </c>
      <c r="G28" s="10" t="e">
        <f>D28/(28/1.34)</f>
        <v>#N/A</v>
      </c>
      <c r="H28" s="12" t="e">
        <f t="shared" ref="H28:H53" si="5">(E28*4)+(F28*9)+(G28*4)</f>
        <v>#N/A</v>
      </c>
      <c r="I28" s="1"/>
    </row>
    <row r="29" spans="1:14" ht="15.75" customHeight="1" thickTop="1" thickBot="1" x14ac:dyDescent="0.3">
      <c r="A29" s="1"/>
      <c r="B29" s="8" t="s">
        <v>61</v>
      </c>
      <c r="C29" s="8" t="s">
        <v>7</v>
      </c>
      <c r="D29" s="9" t="e">
        <f>VLOOKUP(B29,'Nutrition Plan'!$D$99:$F$109,3,0)</f>
        <v>#N/A</v>
      </c>
      <c r="E29" s="10" t="e">
        <f>D29/(100/18.94)</f>
        <v>#N/A</v>
      </c>
      <c r="F29" s="11" t="e">
        <f>D29/(100/26.05)</f>
        <v>#N/A</v>
      </c>
      <c r="G29" s="10" t="e">
        <f>D29/(100/6.94)</f>
        <v>#N/A</v>
      </c>
      <c r="H29" s="12" t="e">
        <f t="shared" si="5"/>
        <v>#N/A</v>
      </c>
      <c r="I29" s="1"/>
    </row>
    <row r="30" spans="1:14" ht="15.75" customHeight="1" thickTop="1" thickBot="1" x14ac:dyDescent="0.3">
      <c r="A30" s="1"/>
      <c r="B30" s="8" t="s">
        <v>62</v>
      </c>
      <c r="C30" s="8" t="s">
        <v>22</v>
      </c>
      <c r="D30" s="9" t="e">
        <f>VLOOKUP(B30,'Nutrition Plan'!$D$99:$F$109,3,0)</f>
        <v>#N/A</v>
      </c>
      <c r="E30" s="10" t="e">
        <f>D30/(1/4)</f>
        <v>#N/A</v>
      </c>
      <c r="F30" s="11" t="e">
        <f>D30/(1/6)</f>
        <v>#N/A</v>
      </c>
      <c r="G30" s="10">
        <f>0</f>
        <v>0</v>
      </c>
      <c r="H30" s="12" t="e">
        <f t="shared" si="5"/>
        <v>#N/A</v>
      </c>
      <c r="I30" s="1"/>
    </row>
    <row r="31" spans="1:14" ht="15.75" customHeight="1" thickTop="1" thickBot="1" x14ac:dyDescent="0.3">
      <c r="A31" s="1"/>
      <c r="B31" s="8" t="s">
        <v>63</v>
      </c>
      <c r="C31" s="8" t="s">
        <v>7</v>
      </c>
      <c r="D31" s="9" t="e">
        <f>VLOOKUP(B31,'Nutrition Plan'!$D$99:$F$109,3,0)</f>
        <v>#N/A</v>
      </c>
      <c r="E31" s="10" t="e">
        <f>D31/(100/14.21)</f>
        <v>#N/A</v>
      </c>
      <c r="F31" s="11" t="e">
        <f>D31/(100/21.28)</f>
        <v>#N/A</v>
      </c>
      <c r="G31" s="10" t="e">
        <f>D31/(100/4.09)</f>
        <v>#N/A</v>
      </c>
      <c r="H31" s="12" t="e">
        <f t="shared" si="5"/>
        <v>#N/A</v>
      </c>
      <c r="I31" s="1"/>
    </row>
    <row r="32" spans="1:14" ht="15.75" customHeight="1" thickTop="1" thickBot="1" x14ac:dyDescent="0.3">
      <c r="A32" s="1"/>
      <c r="B32" s="8" t="s">
        <v>64</v>
      </c>
      <c r="C32" s="8" t="s">
        <v>7</v>
      </c>
      <c r="D32" s="9" t="e">
        <f>VLOOKUP(B32,'Nutrition Plan'!$D$99:$F$109,3,0)</f>
        <v>#N/A</v>
      </c>
      <c r="E32" s="10" t="e">
        <f>D32/(28/6)</f>
        <v>#N/A</v>
      </c>
      <c r="F32" s="11" t="e">
        <f>D32/(28/4)</f>
        <v>#N/A</v>
      </c>
      <c r="G32" s="10" t="e">
        <f>D32/(28/3)</f>
        <v>#N/A</v>
      </c>
      <c r="H32" s="12" t="e">
        <f t="shared" si="5"/>
        <v>#N/A</v>
      </c>
      <c r="I32" s="1"/>
    </row>
    <row r="33" spans="1:9" ht="15.75" customHeight="1" thickTop="1" thickBot="1" x14ac:dyDescent="0.3">
      <c r="A33" s="1"/>
      <c r="B33" s="8" t="s">
        <v>65</v>
      </c>
      <c r="C33" s="8" t="s">
        <v>22</v>
      </c>
      <c r="D33" s="9" t="e">
        <f>VLOOKUP(B33,'Nutrition Plan'!$D$99:$F$109,3,0)</f>
        <v>#N/A</v>
      </c>
      <c r="E33" s="10" t="e">
        <f t="shared" ref="E33:E34" si="6">D33/(1/3)</f>
        <v>#N/A</v>
      </c>
      <c r="F33" s="11" t="e">
        <f>D33/(1/2.5)</f>
        <v>#N/A</v>
      </c>
      <c r="G33" s="10" t="e">
        <f t="shared" ref="G33:G34" si="7">D33/(1/1)</f>
        <v>#N/A</v>
      </c>
      <c r="H33" s="12" t="e">
        <f t="shared" si="5"/>
        <v>#N/A</v>
      </c>
      <c r="I33" s="1"/>
    </row>
    <row r="34" spans="1:9" ht="15.75" customHeight="1" thickTop="1" thickBot="1" x14ac:dyDescent="0.3">
      <c r="A34" s="1"/>
      <c r="B34" s="8" t="s">
        <v>66</v>
      </c>
      <c r="C34" s="8" t="s">
        <v>22</v>
      </c>
      <c r="D34" s="9" t="e">
        <f>VLOOKUP(B34,'Nutrition Plan'!$D$99:$F$109,3,0)</f>
        <v>#N/A</v>
      </c>
      <c r="E34" s="10" t="e">
        <f t="shared" si="6"/>
        <v>#N/A</v>
      </c>
      <c r="F34" s="11" t="e">
        <f>D34/(1/3)</f>
        <v>#N/A</v>
      </c>
      <c r="G34" s="10" t="e">
        <f t="shared" si="7"/>
        <v>#N/A</v>
      </c>
      <c r="H34" s="12" t="e">
        <f t="shared" si="5"/>
        <v>#N/A</v>
      </c>
      <c r="I34" s="1"/>
    </row>
    <row r="35" spans="1:9" ht="15.75" customHeight="1" thickTop="1" thickBot="1" x14ac:dyDescent="0.3">
      <c r="A35" s="1"/>
      <c r="B35" s="8" t="s">
        <v>67</v>
      </c>
      <c r="C35" s="8" t="s">
        <v>7</v>
      </c>
      <c r="D35" s="9" t="e">
        <f>VLOOKUP(B35,'Nutrition Plan'!$D$99:$F$109,3,0)</f>
        <v>#N/A</v>
      </c>
      <c r="E35" s="10" t="e">
        <f>D35/(28/9)</f>
        <v>#N/A</v>
      </c>
      <c r="F35" s="11">
        <f>0</f>
        <v>0</v>
      </c>
      <c r="G35" s="10" t="e">
        <f>D35/(28/2)</f>
        <v>#N/A</v>
      </c>
      <c r="H35" s="12" t="e">
        <f t="shared" si="5"/>
        <v>#N/A</v>
      </c>
      <c r="I35" s="1"/>
    </row>
    <row r="36" spans="1:9" ht="15.75" customHeight="1" thickTop="1" thickBot="1" x14ac:dyDescent="0.3">
      <c r="A36" s="1"/>
      <c r="B36" s="8" t="s">
        <v>68</v>
      </c>
      <c r="C36" s="8" t="s">
        <v>22</v>
      </c>
      <c r="D36" s="9" t="e">
        <f>VLOOKUP(B36,'Nutrition Plan'!$D$99:$F$109,3,0)</f>
        <v>#N/A</v>
      </c>
      <c r="E36" s="10" t="e">
        <f>D36/(1/5)</f>
        <v>#N/A</v>
      </c>
      <c r="F36" s="11" t="e">
        <f>D36/(1/5)</f>
        <v>#N/A</v>
      </c>
      <c r="G36" s="10">
        <f>0</f>
        <v>0</v>
      </c>
      <c r="H36" s="12" t="e">
        <f t="shared" si="5"/>
        <v>#N/A</v>
      </c>
      <c r="I36" s="1"/>
    </row>
    <row r="37" spans="1:9" ht="15.75" customHeight="1" thickTop="1" thickBot="1" x14ac:dyDescent="0.3">
      <c r="A37" s="1"/>
      <c r="B37" s="8" t="s">
        <v>69</v>
      </c>
      <c r="C37" s="8" t="s">
        <v>7</v>
      </c>
      <c r="D37" s="9" t="e">
        <f>VLOOKUP(B37,'Nutrition Plan'!$D$99:$F$109,3,0)</f>
        <v>#N/A</v>
      </c>
      <c r="E37" s="10" t="e">
        <f t="shared" ref="E37:E38" si="8">D37/(28/8)</f>
        <v>#N/A</v>
      </c>
      <c r="F37" s="11" t="e">
        <f>D37/(28/4.5)</f>
        <v>#N/A</v>
      </c>
      <c r="G37" s="10" t="e">
        <f t="shared" ref="G37:G38" si="9">D37/(28/1)</f>
        <v>#N/A</v>
      </c>
      <c r="H37" s="12" t="e">
        <f t="shared" si="5"/>
        <v>#N/A</v>
      </c>
      <c r="I37" s="1"/>
    </row>
    <row r="38" spans="1:9" ht="15.75" customHeight="1" thickTop="1" thickBot="1" x14ac:dyDescent="0.3">
      <c r="A38" s="1"/>
      <c r="B38" s="8" t="s">
        <v>71</v>
      </c>
      <c r="C38" s="8" t="s">
        <v>7</v>
      </c>
      <c r="D38" s="9" t="e">
        <f>VLOOKUP(B38,'Nutrition Plan'!$D$99:$F$109,3,0)</f>
        <v>#N/A</v>
      </c>
      <c r="E38" s="10" t="e">
        <f t="shared" si="8"/>
        <v>#N/A</v>
      </c>
      <c r="F38" s="11" t="e">
        <f>D38/(28/6)</f>
        <v>#N/A</v>
      </c>
      <c r="G38" s="10" t="e">
        <f t="shared" si="9"/>
        <v>#N/A</v>
      </c>
      <c r="H38" s="12" t="e">
        <f t="shared" si="5"/>
        <v>#N/A</v>
      </c>
      <c r="I38" s="1"/>
    </row>
    <row r="39" spans="1:9" ht="15.75" customHeight="1" thickTop="1" thickBot="1" x14ac:dyDescent="0.3">
      <c r="A39" s="1"/>
      <c r="B39" s="8" t="s">
        <v>72</v>
      </c>
      <c r="C39" s="8" t="s">
        <v>7</v>
      </c>
      <c r="D39" s="9" t="e">
        <f>VLOOKUP(B39,'Nutrition Plan'!$D$99:$F$109,3,0)</f>
        <v>#N/A</v>
      </c>
      <c r="E39" s="10" t="e">
        <f>D39/(100/11.39)</f>
        <v>#N/A</v>
      </c>
      <c r="F39" s="11" t="e">
        <f>D39/(100/7.91)</f>
        <v>#N/A</v>
      </c>
      <c r="G39" s="10" t="e">
        <f>D39/(100/5.4)</f>
        <v>#N/A</v>
      </c>
      <c r="H39" s="12" t="e">
        <f t="shared" si="5"/>
        <v>#N/A</v>
      </c>
      <c r="I39" s="1"/>
    </row>
    <row r="40" spans="1:9" ht="15.75" customHeight="1" thickTop="1" thickBot="1" x14ac:dyDescent="0.3">
      <c r="A40" s="1"/>
      <c r="B40" s="8" t="s">
        <v>73</v>
      </c>
      <c r="C40" s="8" t="s">
        <v>7</v>
      </c>
      <c r="D40" s="9" t="e">
        <f>VLOOKUP(B40,'Nutrition Plan'!$D$99:$F$109,3,0)</f>
        <v>#N/A</v>
      </c>
      <c r="E40" s="10" t="e">
        <f>D40/(100/9.8)</f>
        <v>#N/A</v>
      </c>
      <c r="F40" s="11">
        <f>0</f>
        <v>0</v>
      </c>
      <c r="G40" s="10" t="e">
        <f>D40/(100/1.6)</f>
        <v>#N/A</v>
      </c>
      <c r="H40" s="12" t="e">
        <f t="shared" si="5"/>
        <v>#N/A</v>
      </c>
      <c r="I40" s="1"/>
    </row>
    <row r="41" spans="1:9" ht="15.75" customHeight="1" thickTop="1" thickBot="1" x14ac:dyDescent="0.3">
      <c r="A41" s="1"/>
      <c r="B41" s="8" t="s">
        <v>74</v>
      </c>
      <c r="C41" s="8" t="s">
        <v>75</v>
      </c>
      <c r="D41" s="9" t="e">
        <f>VLOOKUP(B41,'Nutrition Plan'!$D$99:$F$109,3,0)</f>
        <v>#N/A</v>
      </c>
      <c r="E41" s="10" t="e">
        <f>D41/(1/3.6)</f>
        <v>#N/A</v>
      </c>
      <c r="F41" s="11" t="e">
        <f>D41/(1/0.06)</f>
        <v>#N/A</v>
      </c>
      <c r="G41" s="10" t="e">
        <f>D41/(1/0.24)</f>
        <v>#N/A</v>
      </c>
      <c r="H41" s="12" t="e">
        <f t="shared" si="5"/>
        <v>#N/A</v>
      </c>
      <c r="I41" s="1"/>
    </row>
    <row r="42" spans="1:9" ht="15.75" customHeight="1" thickTop="1" thickBot="1" x14ac:dyDescent="0.3">
      <c r="A42" s="1"/>
      <c r="B42" s="8" t="s">
        <v>77</v>
      </c>
      <c r="C42" s="8" t="s">
        <v>75</v>
      </c>
      <c r="D42" s="9" t="e">
        <f>VLOOKUP(B42,'Nutrition Plan'!$D$99:$F$109,3,0)</f>
        <v>#N/A</v>
      </c>
      <c r="E42" s="10" t="e">
        <f>D42/(1/6.28)</f>
        <v>#N/A</v>
      </c>
      <c r="F42" s="11" t="e">
        <f>D42/(1/4.76)</f>
        <v>#N/A</v>
      </c>
      <c r="G42" s="10" t="e">
        <f>D42/(1/0.36)</f>
        <v>#N/A</v>
      </c>
      <c r="H42" s="12" t="e">
        <f t="shared" si="5"/>
        <v>#N/A</v>
      </c>
      <c r="I42" s="1"/>
    </row>
    <row r="43" spans="1:9" ht="15.75" customHeight="1" thickTop="1" thickBot="1" x14ac:dyDescent="0.3">
      <c r="A43" s="1"/>
      <c r="B43" s="8" t="s">
        <v>78</v>
      </c>
      <c r="C43" s="8" t="s">
        <v>75</v>
      </c>
      <c r="D43" s="9" t="e">
        <f>VLOOKUP(B43,'Nutrition Plan'!$D$99:$F$109,3,0)</f>
        <v>#N/A</v>
      </c>
      <c r="E43" s="10" t="e">
        <f>D43/(1/7)</f>
        <v>#N/A</v>
      </c>
      <c r="F43" s="11" t="e">
        <f>D43/(1/4.5)</f>
        <v>#N/A</v>
      </c>
      <c r="G43" s="10">
        <v>0</v>
      </c>
      <c r="H43" s="12" t="e">
        <f t="shared" si="5"/>
        <v>#N/A</v>
      </c>
      <c r="I43" s="1"/>
    </row>
    <row r="44" spans="1:9" ht="15.75" customHeight="1" thickTop="1" thickBot="1" x14ac:dyDescent="0.3">
      <c r="A44" s="1"/>
      <c r="B44" s="8" t="s">
        <v>79</v>
      </c>
      <c r="C44" s="8" t="s">
        <v>7</v>
      </c>
      <c r="D44" s="9" t="e">
        <f>VLOOKUP(B44,'Nutrition Plan'!$D$99:$F$109,3,0)</f>
        <v>#N/A</v>
      </c>
      <c r="E44" s="10" t="e">
        <f t="shared" ref="E44:E45" si="10">D44/(46/5)</f>
        <v>#N/A</v>
      </c>
      <c r="F44" s="11">
        <f t="shared" ref="F44:F45" si="11">0</f>
        <v>0</v>
      </c>
      <c r="G44" s="10" t="e">
        <f>D44/(46/0.75)</f>
        <v>#N/A</v>
      </c>
      <c r="H44" s="12" t="e">
        <f t="shared" si="5"/>
        <v>#N/A</v>
      </c>
      <c r="I44" s="1"/>
    </row>
    <row r="45" spans="1:9" ht="15.75" customHeight="1" thickTop="1" thickBot="1" x14ac:dyDescent="0.3">
      <c r="A45" s="1"/>
      <c r="B45" s="8" t="s">
        <v>80</v>
      </c>
      <c r="C45" s="8" t="s">
        <v>7</v>
      </c>
      <c r="D45" s="9" t="e">
        <f>VLOOKUP(B45,'Nutrition Plan'!$D$99:$F$109,3,0)</f>
        <v>#N/A</v>
      </c>
      <c r="E45" s="10" t="e">
        <f t="shared" si="10"/>
        <v>#N/A</v>
      </c>
      <c r="F45" s="11">
        <f t="shared" si="11"/>
        <v>0</v>
      </c>
      <c r="G45" s="10">
        <f>0</f>
        <v>0</v>
      </c>
      <c r="H45" s="12" t="e">
        <f t="shared" si="5"/>
        <v>#N/A</v>
      </c>
      <c r="I45" s="1"/>
    </row>
    <row r="46" spans="1:9" ht="15.75" customHeight="1" thickTop="1" thickBot="1" x14ac:dyDescent="0.3">
      <c r="A46" s="1"/>
      <c r="B46" s="8" t="s">
        <v>81</v>
      </c>
      <c r="C46" s="8" t="s">
        <v>82</v>
      </c>
      <c r="D46" s="9" t="e">
        <f>VLOOKUP(B46,'Nutrition Plan'!$D$99:$F$109,3,0)</f>
        <v>#N/A</v>
      </c>
      <c r="E46" s="10" t="e">
        <f t="shared" ref="E46:E47" si="12">D46/(8/8)</f>
        <v>#N/A</v>
      </c>
      <c r="F46" s="11" t="e">
        <f>D46/(8/2.4)</f>
        <v>#N/A</v>
      </c>
      <c r="G46" s="10" t="e">
        <f t="shared" ref="G46:G47" si="13">D46/(8/12)</f>
        <v>#N/A</v>
      </c>
      <c r="H46" s="12" t="e">
        <f t="shared" si="5"/>
        <v>#N/A</v>
      </c>
      <c r="I46" s="1"/>
    </row>
    <row r="47" spans="1:9" ht="15.75" customHeight="1" thickTop="1" thickBot="1" x14ac:dyDescent="0.3">
      <c r="A47" s="1"/>
      <c r="B47" s="8" t="s">
        <v>83</v>
      </c>
      <c r="C47" s="8" t="s">
        <v>82</v>
      </c>
      <c r="D47" s="9" t="e">
        <f>VLOOKUP(B47,'Nutrition Plan'!$D$99:$F$109,3,0)</f>
        <v>#N/A</v>
      </c>
      <c r="E47" s="10" t="e">
        <f t="shared" si="12"/>
        <v>#N/A</v>
      </c>
      <c r="F47" s="11" t="e">
        <f>D47/(8/4.9)</f>
        <v>#N/A</v>
      </c>
      <c r="G47" s="10" t="e">
        <f t="shared" si="13"/>
        <v>#N/A</v>
      </c>
      <c r="H47" s="12" t="e">
        <f t="shared" si="5"/>
        <v>#N/A</v>
      </c>
      <c r="I47" s="1"/>
    </row>
    <row r="48" spans="1:9" ht="15.75" customHeight="1" thickTop="1" thickBot="1" x14ac:dyDescent="0.3">
      <c r="A48" s="1"/>
      <c r="B48" s="8" t="s">
        <v>84</v>
      </c>
      <c r="C48" s="8" t="s">
        <v>82</v>
      </c>
      <c r="D48" s="9" t="e">
        <f>VLOOKUP(B48,'Nutrition Plan'!$D$99:$F$109,3,0)</f>
        <v>#N/A</v>
      </c>
      <c r="E48" s="10" t="e">
        <f t="shared" ref="E48:E50" si="14">D48/(8/1)</f>
        <v>#N/A</v>
      </c>
      <c r="F48" s="11" t="e">
        <f>D48/(8/2.5)</f>
        <v>#N/A</v>
      </c>
      <c r="G48" s="10" t="e">
        <f t="shared" ref="G48:G50" si="15">D48/(8/1)</f>
        <v>#N/A</v>
      </c>
      <c r="H48" s="12" t="e">
        <f t="shared" si="5"/>
        <v>#N/A</v>
      </c>
      <c r="I48" s="1"/>
    </row>
    <row r="49" spans="1:9" ht="15.75" customHeight="1" thickTop="1" thickBot="1" x14ac:dyDescent="0.3">
      <c r="A49" s="1"/>
      <c r="B49" s="8" t="s">
        <v>85</v>
      </c>
      <c r="C49" s="8" t="s">
        <v>82</v>
      </c>
      <c r="D49" s="9" t="e">
        <f>VLOOKUP(B49,'Nutrition Plan'!$D$99:$F$109,3,0)</f>
        <v>#N/A</v>
      </c>
      <c r="E49" s="10" t="e">
        <f t="shared" si="14"/>
        <v>#N/A</v>
      </c>
      <c r="F49" s="11" t="e">
        <f>D49/(8/2)</f>
        <v>#N/A</v>
      </c>
      <c r="G49" s="10" t="e">
        <f t="shared" si="15"/>
        <v>#N/A</v>
      </c>
      <c r="H49" s="12" t="e">
        <f t="shared" si="5"/>
        <v>#N/A</v>
      </c>
      <c r="I49" s="1"/>
    </row>
    <row r="50" spans="1:9" ht="15.75" customHeight="1" thickTop="1" thickBot="1" x14ac:dyDescent="0.3">
      <c r="A50" s="1"/>
      <c r="B50" s="8" t="s">
        <v>86</v>
      </c>
      <c r="C50" s="8" t="s">
        <v>82</v>
      </c>
      <c r="D50" s="9" t="e">
        <f>VLOOKUP(B50,'Nutrition Plan'!$D$99:$F$109,3,0)</f>
        <v>#N/A</v>
      </c>
      <c r="E50" s="10" t="e">
        <f t="shared" si="14"/>
        <v>#N/A</v>
      </c>
      <c r="F50" s="11" t="e">
        <f>D50/(8/3.5)</f>
        <v>#N/A</v>
      </c>
      <c r="G50" s="10" t="e">
        <f t="shared" si="15"/>
        <v>#N/A</v>
      </c>
      <c r="H50" s="12" t="e">
        <f t="shared" si="5"/>
        <v>#N/A</v>
      </c>
      <c r="I50" s="1"/>
    </row>
    <row r="51" spans="1:9" ht="15.75" customHeight="1" thickTop="1" thickBot="1" x14ac:dyDescent="0.3">
      <c r="A51" s="1"/>
      <c r="B51" s="8" t="s">
        <v>87</v>
      </c>
      <c r="C51" s="8" t="s">
        <v>82</v>
      </c>
      <c r="D51" s="9" t="e">
        <f>VLOOKUP(B51,'Nutrition Plan'!$D$99:$F$109,3,0)</f>
        <v>#N/A</v>
      </c>
      <c r="E51" s="10" t="e">
        <f t="shared" ref="E51:E52" si="16">D51/(8/8)</f>
        <v>#N/A</v>
      </c>
      <c r="F51" s="11" t="e">
        <f>D51/(8/0.2)</f>
        <v>#N/A</v>
      </c>
      <c r="G51" s="10" t="e">
        <f t="shared" ref="G51:G52" si="17">D51/(8/12)</f>
        <v>#N/A</v>
      </c>
      <c r="H51" s="12" t="e">
        <f t="shared" si="5"/>
        <v>#N/A</v>
      </c>
      <c r="I51" s="1"/>
    </row>
    <row r="52" spans="1:9" ht="15.75" customHeight="1" thickTop="1" thickBot="1" x14ac:dyDescent="0.3">
      <c r="A52" s="1"/>
      <c r="B52" s="8" t="s">
        <v>89</v>
      </c>
      <c r="C52" s="8" t="s">
        <v>82</v>
      </c>
      <c r="D52" s="9" t="e">
        <f>VLOOKUP(B52,'Nutrition Plan'!$D$99:$F$109,3,0)</f>
        <v>#N/A</v>
      </c>
      <c r="E52" s="10" t="e">
        <f t="shared" si="16"/>
        <v>#N/A</v>
      </c>
      <c r="F52" s="11" t="e">
        <f>D52/(8/8)</f>
        <v>#N/A</v>
      </c>
      <c r="G52" s="10" t="e">
        <f t="shared" si="17"/>
        <v>#N/A</v>
      </c>
      <c r="H52" s="12" t="e">
        <f t="shared" si="5"/>
        <v>#N/A</v>
      </c>
      <c r="I52" s="1"/>
    </row>
    <row r="53" spans="1:9" ht="15.75" customHeight="1" thickTop="1" thickBot="1" x14ac:dyDescent="0.3">
      <c r="A53" s="1"/>
      <c r="B53" s="8" t="s">
        <v>90</v>
      </c>
      <c r="C53" s="8" t="s">
        <v>7</v>
      </c>
      <c r="D53" s="9" t="e">
        <f>VLOOKUP(B53,'Nutrition Plan'!$D$99:$F$109,3,0)</f>
        <v>#N/A</v>
      </c>
      <c r="E53" s="10" t="e">
        <f>D53/(224/22.7)</f>
        <v>#N/A</v>
      </c>
      <c r="F53" s="11">
        <f>0</f>
        <v>0</v>
      </c>
      <c r="G53" s="10" t="e">
        <f>D53/(224/10.6)</f>
        <v>#N/A</v>
      </c>
      <c r="H53" s="12" t="e">
        <f t="shared" si="5"/>
        <v>#N/A</v>
      </c>
      <c r="I53" s="1"/>
    </row>
    <row r="54" spans="1:9" ht="15.75" customHeight="1" thickTop="1" x14ac:dyDescent="0.3">
      <c r="A54" s="1"/>
      <c r="B54" s="173" t="s">
        <v>5</v>
      </c>
      <c r="C54" s="174"/>
      <c r="D54" s="174"/>
      <c r="E54" s="174"/>
      <c r="F54" s="174"/>
      <c r="G54" s="174"/>
      <c r="H54" s="134"/>
      <c r="I54" s="1"/>
    </row>
    <row r="55" spans="1:9" ht="15.75" customHeight="1" thickBot="1" x14ac:dyDescent="0.3">
      <c r="A55" s="1"/>
      <c r="B55" s="8" t="s">
        <v>91</v>
      </c>
      <c r="C55" s="8" t="s">
        <v>7</v>
      </c>
      <c r="D55" s="9" t="e">
        <f>VLOOKUP(B55,'Nutrition Plan'!$D$99:$F$109,3,0)</f>
        <v>#N/A</v>
      </c>
      <c r="E55" s="10" t="e">
        <f>D55/(32/6)</f>
        <v>#N/A</v>
      </c>
      <c r="F55" s="11" t="e">
        <f>D55/(32/16)</f>
        <v>#N/A</v>
      </c>
      <c r="G55" s="10" t="e">
        <f>D55/(32/7)</f>
        <v>#N/A</v>
      </c>
      <c r="H55" s="12" t="e">
        <f t="shared" ref="H55:H71" si="18">(E55*4)+(F55*9)+(G55*4)</f>
        <v>#N/A</v>
      </c>
      <c r="I55" s="1"/>
    </row>
    <row r="56" spans="1:9" ht="15.75" customHeight="1" thickTop="1" thickBot="1" x14ac:dyDescent="0.3">
      <c r="A56" s="1"/>
      <c r="B56" s="8" t="s">
        <v>92</v>
      </c>
      <c r="C56" s="8" t="s">
        <v>7</v>
      </c>
      <c r="D56" s="9" t="e">
        <f>VLOOKUP(B56,'Nutrition Plan'!$D$99:$F$109,3,0)</f>
        <v>#N/A</v>
      </c>
      <c r="E56" s="10" t="e">
        <f>D56/(32/7)</f>
        <v>#N/A</v>
      </c>
      <c r="F56" s="11" t="e">
        <f>D56/(32/18)</f>
        <v>#N/A</v>
      </c>
      <c r="G56" s="10" t="e">
        <f>D56/(32/6)</f>
        <v>#N/A</v>
      </c>
      <c r="H56" s="12" t="e">
        <f t="shared" si="18"/>
        <v>#N/A</v>
      </c>
      <c r="I56" s="1"/>
    </row>
    <row r="57" spans="1:9" ht="15.75" customHeight="1" thickTop="1" thickBot="1" x14ac:dyDescent="0.3">
      <c r="A57" s="1"/>
      <c r="B57" s="8" t="s">
        <v>93</v>
      </c>
      <c r="C57" s="8" t="s">
        <v>7</v>
      </c>
      <c r="D57" s="9" t="e">
        <f>VLOOKUP(B57,'Nutrition Plan'!$D$99:$F$109,3,0)</f>
        <v>#N/A</v>
      </c>
      <c r="E57" s="10" t="e">
        <f>D57/(12/4)</f>
        <v>#N/A</v>
      </c>
      <c r="F57" s="11" t="e">
        <f>D57/(12/1.5)</f>
        <v>#N/A</v>
      </c>
      <c r="G57" s="10" t="e">
        <f>D57/(12/5)</f>
        <v>#N/A</v>
      </c>
      <c r="H57" s="12" t="e">
        <f t="shared" si="18"/>
        <v>#N/A</v>
      </c>
      <c r="I57" s="1"/>
    </row>
    <row r="58" spans="1:9" ht="15.75" customHeight="1" thickTop="1" thickBot="1" x14ac:dyDescent="0.3">
      <c r="A58" s="1"/>
      <c r="B58" s="8" t="s">
        <v>95</v>
      </c>
      <c r="C58" s="8" t="s">
        <v>7</v>
      </c>
      <c r="D58" s="9" t="e">
        <f>VLOOKUP(B58,'Nutrition Plan'!$D$99:$F$109,3,0)</f>
        <v>#N/A</v>
      </c>
      <c r="E58" s="10" t="e">
        <f>D58/(14/7)</f>
        <v>#N/A</v>
      </c>
      <c r="F58" s="11" t="e">
        <f>D58/(14/2)</f>
        <v>#N/A</v>
      </c>
      <c r="G58" s="10" t="e">
        <f>D58/(14/3)</f>
        <v>#N/A</v>
      </c>
      <c r="H58" s="12" t="e">
        <f t="shared" si="18"/>
        <v>#N/A</v>
      </c>
      <c r="I58" s="1"/>
    </row>
    <row r="59" spans="1:9" ht="15.75" customHeight="1" thickTop="1" thickBot="1" x14ac:dyDescent="0.3">
      <c r="A59" s="1"/>
      <c r="B59" s="8" t="s">
        <v>96</v>
      </c>
      <c r="C59" s="8" t="s">
        <v>7</v>
      </c>
      <c r="D59" s="9" t="e">
        <f>VLOOKUP(B59,'Nutrition Plan'!$D$99:$F$109,3,0)</f>
        <v>#N/A</v>
      </c>
      <c r="E59" s="10" t="e">
        <f>D59/(12/6)</f>
        <v>#N/A</v>
      </c>
      <c r="F59" s="11" t="e">
        <f>D59/(12/1.5)</f>
        <v>#N/A</v>
      </c>
      <c r="G59" s="10" t="e">
        <f>D59/(12/3)</f>
        <v>#N/A</v>
      </c>
      <c r="H59" s="12" t="e">
        <f t="shared" si="18"/>
        <v>#N/A</v>
      </c>
      <c r="I59" s="1"/>
    </row>
    <row r="60" spans="1:9" ht="15.75" customHeight="1" thickTop="1" thickBot="1" x14ac:dyDescent="0.3">
      <c r="A60" s="1"/>
      <c r="B60" s="8" t="s">
        <v>97</v>
      </c>
      <c r="C60" s="8" t="s">
        <v>7</v>
      </c>
      <c r="D60" s="9" t="e">
        <f>VLOOKUP(B60,'Nutrition Plan'!$D$99:$F$109,3,0)</f>
        <v>#N/A</v>
      </c>
      <c r="E60" s="10" t="e">
        <f>D60/(32/7)</f>
        <v>#N/A</v>
      </c>
      <c r="F60" s="11" t="e">
        <f>D60/(32/16)</f>
        <v>#N/A</v>
      </c>
      <c r="G60" s="10" t="e">
        <f>D60/(32/6)</f>
        <v>#N/A</v>
      </c>
      <c r="H60" s="12" t="e">
        <f t="shared" si="18"/>
        <v>#N/A</v>
      </c>
      <c r="I60" s="1"/>
    </row>
    <row r="61" spans="1:9" ht="15.75" customHeight="1" thickTop="1" thickBot="1" x14ac:dyDescent="0.3">
      <c r="A61" s="1"/>
      <c r="B61" s="8" t="s">
        <v>98</v>
      </c>
      <c r="C61" s="8" t="s">
        <v>7</v>
      </c>
      <c r="D61" s="9" t="e">
        <f>VLOOKUP(B61,'Nutrition Plan'!$D$99:$F$109,3,0)</f>
        <v>#N/A</v>
      </c>
      <c r="E61" s="10" t="e">
        <f>D61/(28/6)</f>
        <v>#N/A</v>
      </c>
      <c r="F61" s="11" t="e">
        <f>D61/(28/14)</f>
        <v>#N/A</v>
      </c>
      <c r="G61" s="10" t="e">
        <f>D61/(28/5.6)</f>
        <v>#N/A</v>
      </c>
      <c r="H61" s="12" t="e">
        <f t="shared" si="18"/>
        <v>#N/A</v>
      </c>
      <c r="I61" s="1"/>
    </row>
    <row r="62" spans="1:9" ht="15.75" customHeight="1" thickTop="1" thickBot="1" x14ac:dyDescent="0.3">
      <c r="A62" s="1"/>
      <c r="B62" s="8" t="s">
        <v>99</v>
      </c>
      <c r="C62" s="8" t="s">
        <v>7</v>
      </c>
      <c r="D62" s="9" t="e">
        <f>VLOOKUP(B62,'Nutrition Plan'!$D$99:$F$109,3,0)</f>
        <v>#N/A</v>
      </c>
      <c r="E62" s="10" t="e">
        <f>D62/(100/18.22)</f>
        <v>#N/A</v>
      </c>
      <c r="F62" s="11" t="e">
        <f>D62/(100/43.85)</f>
        <v>#N/A</v>
      </c>
      <c r="G62" s="10" t="e">
        <f>D62/(100/30.19)</f>
        <v>#N/A</v>
      </c>
      <c r="H62" s="12" t="e">
        <f t="shared" si="18"/>
        <v>#N/A</v>
      </c>
      <c r="I62" s="1"/>
    </row>
    <row r="63" spans="1:9" ht="15.75" customHeight="1" thickTop="1" thickBot="1" x14ac:dyDescent="0.3">
      <c r="A63" s="1"/>
      <c r="B63" s="8" t="s">
        <v>100</v>
      </c>
      <c r="C63" s="8" t="s">
        <v>7</v>
      </c>
      <c r="D63" s="9" t="e">
        <f>VLOOKUP(B63,'Nutrition Plan'!$D$99:$F$109,3,0)</f>
        <v>#N/A</v>
      </c>
      <c r="E63" s="10" t="e">
        <f>D63/(28/7)</f>
        <v>#N/A</v>
      </c>
      <c r="F63" s="11" t="e">
        <f>D63/(28/14)</f>
        <v>#N/A</v>
      </c>
      <c r="G63" s="10" t="e">
        <f>D63/(28/5)</f>
        <v>#N/A</v>
      </c>
      <c r="H63" s="12" t="e">
        <f t="shared" si="18"/>
        <v>#N/A</v>
      </c>
      <c r="I63" s="1"/>
    </row>
    <row r="64" spans="1:9" ht="15.75" customHeight="1" thickTop="1" thickBot="1" x14ac:dyDescent="0.3">
      <c r="A64" s="1"/>
      <c r="B64" s="8" t="s">
        <v>101</v>
      </c>
      <c r="C64" s="8" t="s">
        <v>7</v>
      </c>
      <c r="D64" s="9" t="e">
        <f>VLOOKUP(B64,'Nutrition Plan'!$D$99:$F$109,3,0)</f>
        <v>#N/A</v>
      </c>
      <c r="E64" s="10" t="e">
        <f>D64/(28/6)</f>
        <v>#N/A</v>
      </c>
      <c r="F64" s="11" t="e">
        <f>D64/(28/12)</f>
        <v>#N/A</v>
      </c>
      <c r="G64" s="10" t="e">
        <f>D64/(28/8)</f>
        <v>#N/A</v>
      </c>
      <c r="H64" s="12" t="e">
        <f t="shared" si="18"/>
        <v>#N/A</v>
      </c>
      <c r="I64" s="1"/>
    </row>
    <row r="65" spans="1:9" ht="15.75" customHeight="1" thickTop="1" thickBot="1" x14ac:dyDescent="0.3">
      <c r="A65" s="1"/>
      <c r="B65" s="8" t="s">
        <v>102</v>
      </c>
      <c r="C65" s="8" t="s">
        <v>7</v>
      </c>
      <c r="D65" s="9" t="e">
        <f>VLOOKUP(B65,'Nutrition Plan'!$D$99:$F$109,3,0)</f>
        <v>#N/A</v>
      </c>
      <c r="E65" s="10" t="e">
        <f>D65/(28/4)</f>
        <v>#N/A</v>
      </c>
      <c r="F65" s="11" t="e">
        <f>D65/(28/18)</f>
        <v>#N/A</v>
      </c>
      <c r="G65" s="10" t="e">
        <f>D65/(28/4)</f>
        <v>#N/A</v>
      </c>
      <c r="H65" s="12" t="e">
        <f t="shared" si="18"/>
        <v>#N/A</v>
      </c>
      <c r="I65" s="1"/>
    </row>
    <row r="66" spans="1:9" ht="15.75" customHeight="1" thickTop="1" thickBot="1" x14ac:dyDescent="0.3">
      <c r="A66" s="1"/>
      <c r="B66" s="8" t="s">
        <v>103</v>
      </c>
      <c r="C66" s="8" t="s">
        <v>7</v>
      </c>
      <c r="D66" s="9" t="e">
        <f>VLOOKUP(B66,'Nutrition Plan'!$D$99:$F$109,3,0)</f>
        <v>#N/A</v>
      </c>
      <c r="E66" s="10">
        <f t="shared" ref="E66:E67" si="19">0</f>
        <v>0</v>
      </c>
      <c r="F66" s="11" t="e">
        <f t="shared" ref="F66:F67" si="20">D66</f>
        <v>#N/A</v>
      </c>
      <c r="G66" s="10">
        <f t="shared" ref="G66:G67" si="21">0</f>
        <v>0</v>
      </c>
      <c r="H66" s="12" t="e">
        <f t="shared" si="18"/>
        <v>#N/A</v>
      </c>
      <c r="I66" s="1"/>
    </row>
    <row r="67" spans="1:9" ht="15.75" customHeight="1" thickTop="1" thickBot="1" x14ac:dyDescent="0.3">
      <c r="A67" s="1"/>
      <c r="B67" s="8" t="s">
        <v>104</v>
      </c>
      <c r="C67" s="8" t="s">
        <v>7</v>
      </c>
      <c r="D67" s="9" t="e">
        <f>VLOOKUP(B67,'Nutrition Plan'!$D$99:$F$109,3,0)</f>
        <v>#N/A</v>
      </c>
      <c r="E67" s="10">
        <f t="shared" si="19"/>
        <v>0</v>
      </c>
      <c r="F67" s="11" t="e">
        <f t="shared" si="20"/>
        <v>#N/A</v>
      </c>
      <c r="G67" s="10">
        <f t="shared" si="21"/>
        <v>0</v>
      </c>
      <c r="H67" s="12" t="e">
        <f t="shared" si="18"/>
        <v>#N/A</v>
      </c>
      <c r="I67" s="1"/>
    </row>
    <row r="68" spans="1:9" ht="15.75" customHeight="1" thickTop="1" thickBot="1" x14ac:dyDescent="0.3">
      <c r="A68" s="1"/>
      <c r="B68" s="8" t="s">
        <v>105</v>
      </c>
      <c r="C68" s="8" t="s">
        <v>7</v>
      </c>
      <c r="D68" s="9" t="e">
        <f>VLOOKUP(B68,'Nutrition Plan'!$D$99:$F$109,3,0)</f>
        <v>#N/A</v>
      </c>
      <c r="E68" s="10" t="e">
        <f>D68/(100/16.54)</f>
        <v>#N/A</v>
      </c>
      <c r="F68" s="11" t="e">
        <f>D68/(100/30.74)</f>
        <v>#N/A</v>
      </c>
      <c r="G68" s="10" t="e">
        <f>D68/(100/42.12)</f>
        <v>#N/A</v>
      </c>
      <c r="H68" s="12" t="e">
        <f t="shared" si="18"/>
        <v>#N/A</v>
      </c>
      <c r="I68" s="1"/>
    </row>
    <row r="69" spans="1:9" ht="15.75" customHeight="1" thickTop="1" thickBot="1" x14ac:dyDescent="0.3">
      <c r="A69" s="1"/>
      <c r="B69" s="8" t="s">
        <v>106</v>
      </c>
      <c r="C69" s="8" t="s">
        <v>7</v>
      </c>
      <c r="D69" s="9" t="e">
        <f>VLOOKUP(B69,'Nutrition Plan'!$D$99:$F$109,3,0)</f>
        <v>#N/A</v>
      </c>
      <c r="E69" s="10" t="e">
        <f>D69/(100/18.29)</f>
        <v>#N/A</v>
      </c>
      <c r="F69" s="11" t="e">
        <f>D69/(100/42.16)</f>
        <v>#N/A</v>
      </c>
      <c r="G69" s="10" t="e">
        <f>D69/(100/28.88)</f>
        <v>#N/A</v>
      </c>
      <c r="H69" s="12" t="e">
        <f t="shared" si="18"/>
        <v>#N/A</v>
      </c>
      <c r="I69" s="1"/>
    </row>
    <row r="70" spans="1:9" ht="15.75" customHeight="1" thickTop="1" thickBot="1" x14ac:dyDescent="0.3">
      <c r="A70" s="1"/>
      <c r="B70" s="8" t="s">
        <v>107</v>
      </c>
      <c r="C70" s="8" t="s">
        <v>7</v>
      </c>
      <c r="D70" s="9" t="e">
        <f>VLOOKUP(B70,'Nutrition Plan'!$D$99:$F$109,3,0)</f>
        <v>#N/A</v>
      </c>
      <c r="E70" s="10" t="e">
        <f>D70/(100/31.56)</f>
        <v>#N/A</v>
      </c>
      <c r="F70" s="11" t="e">
        <f>D70/(100/48.75)</f>
        <v>#N/A</v>
      </c>
      <c r="G70" s="10" t="e">
        <f>D70/(100/8.67)</f>
        <v>#N/A</v>
      </c>
      <c r="H70" s="12" t="e">
        <f t="shared" si="18"/>
        <v>#N/A</v>
      </c>
      <c r="I70" s="1"/>
    </row>
    <row r="71" spans="1:9" ht="15.75" customHeight="1" thickTop="1" thickBot="1" x14ac:dyDescent="0.3">
      <c r="A71" s="1"/>
      <c r="B71" s="8" t="s">
        <v>108</v>
      </c>
      <c r="C71" s="8" t="s">
        <v>7</v>
      </c>
      <c r="D71" s="9" t="e">
        <f>VLOOKUP(B71,'Nutrition Plan'!$D$99:$F$109,3,0)</f>
        <v>#N/A</v>
      </c>
      <c r="E71" s="10" t="e">
        <f>D71/(28/6)</f>
        <v>#N/A</v>
      </c>
      <c r="F71" s="11" t="e">
        <f>D71/(28/14)</f>
        <v>#N/A</v>
      </c>
      <c r="G71" s="10" t="e">
        <f>D71/(28/6)</f>
        <v>#N/A</v>
      </c>
      <c r="H71" s="12" t="e">
        <f t="shared" si="18"/>
        <v>#N/A</v>
      </c>
      <c r="I71" s="1"/>
    </row>
    <row r="72" spans="1:9" ht="15.75" customHeight="1" thickTop="1" x14ac:dyDescent="0.3">
      <c r="A72" s="1"/>
      <c r="B72" s="173" t="s">
        <v>33</v>
      </c>
      <c r="C72" s="174"/>
      <c r="D72" s="174"/>
      <c r="E72" s="174"/>
      <c r="F72" s="174"/>
      <c r="G72" s="174"/>
      <c r="H72" s="134"/>
      <c r="I72" s="1"/>
    </row>
    <row r="73" spans="1:9" ht="15.75" customHeight="1" thickBot="1" x14ac:dyDescent="0.3">
      <c r="A73" s="1"/>
      <c r="B73" s="8" t="s">
        <v>180</v>
      </c>
      <c r="C73" s="8" t="s">
        <v>7</v>
      </c>
      <c r="D73" s="9" t="e">
        <f>VLOOKUP(B73,'Nutrition Plan'!$D$99:$F$109,3,0)</f>
        <v>#N/A</v>
      </c>
      <c r="E73" s="10" t="e">
        <f>D73/(28/6)</f>
        <v>#N/A</v>
      </c>
      <c r="F73" s="11" t="e">
        <f>D73/(28/0.2)</f>
        <v>#N/A</v>
      </c>
      <c r="G73" s="10">
        <v>0</v>
      </c>
      <c r="H73" s="12" t="e">
        <f t="shared" ref="H73:H108" si="22">(E73*4)+(F73*9)+(G73*4)</f>
        <v>#N/A</v>
      </c>
      <c r="I73" s="1"/>
    </row>
    <row r="74" spans="1:9" ht="15.75" customHeight="1" thickTop="1" thickBot="1" x14ac:dyDescent="0.3">
      <c r="A74" s="1"/>
      <c r="B74" s="8" t="s">
        <v>181</v>
      </c>
      <c r="C74" s="8" t="s">
        <v>7</v>
      </c>
      <c r="D74" s="9" t="e">
        <f>VLOOKUP(B74,'Nutrition Plan'!$D$99:$F$109,3,0)</f>
        <v>#N/A</v>
      </c>
      <c r="E74" s="10" t="e">
        <f>D74/(28/5)</f>
        <v>#N/A</v>
      </c>
      <c r="F74" s="11" t="e">
        <f>D74/(28/1)</f>
        <v>#N/A</v>
      </c>
      <c r="G74" s="10">
        <v>0</v>
      </c>
      <c r="H74" s="12" t="e">
        <f t="shared" si="22"/>
        <v>#N/A</v>
      </c>
      <c r="I74" s="1"/>
    </row>
    <row r="75" spans="1:9" ht="15.75" customHeight="1" thickTop="1" thickBot="1" x14ac:dyDescent="0.3">
      <c r="A75" s="1"/>
      <c r="B75" s="8" t="s">
        <v>182</v>
      </c>
      <c r="C75" s="8" t="s">
        <v>7</v>
      </c>
      <c r="D75" s="9" t="e">
        <f>VLOOKUP(B75,'Nutrition Plan'!$D$99:$F$109,3,0)</f>
        <v>#N/A</v>
      </c>
      <c r="E75" s="10" t="e">
        <f>D75/(28/6.5)</f>
        <v>#N/A</v>
      </c>
      <c r="F75" s="11" t="e">
        <f>D75/(28/0.2)</f>
        <v>#N/A</v>
      </c>
      <c r="G75" s="10">
        <v>0</v>
      </c>
      <c r="H75" s="12" t="e">
        <f t="shared" si="22"/>
        <v>#N/A</v>
      </c>
      <c r="I75" s="1"/>
    </row>
    <row r="76" spans="1:9" ht="15.75" customHeight="1" thickTop="1" thickBot="1" x14ac:dyDescent="0.3">
      <c r="A76" s="1"/>
      <c r="B76" s="8" t="s">
        <v>183</v>
      </c>
      <c r="C76" s="8" t="s">
        <v>7</v>
      </c>
      <c r="D76" s="9" t="e">
        <f>VLOOKUP(B76,'Nutrition Plan'!$D$99:$F$109,3,0)</f>
        <v>#N/A</v>
      </c>
      <c r="E76" s="10" t="e">
        <f>D76/(28/5)</f>
        <v>#N/A</v>
      </c>
      <c r="F76" s="11" t="e">
        <f>D76/(28/1)</f>
        <v>#N/A</v>
      </c>
      <c r="G76" s="10">
        <v>0</v>
      </c>
      <c r="H76" s="12" t="e">
        <f t="shared" si="22"/>
        <v>#N/A</v>
      </c>
      <c r="I76" s="1"/>
    </row>
    <row r="77" spans="1:9" ht="15.75" customHeight="1" thickTop="1" thickBot="1" x14ac:dyDescent="0.3">
      <c r="A77" s="1"/>
      <c r="B77" s="8" t="s">
        <v>184</v>
      </c>
      <c r="C77" s="8" t="s">
        <v>7</v>
      </c>
      <c r="D77" s="9" t="e">
        <f>VLOOKUP(B77,'Nutrition Plan'!$D$99:$F$109,3,0)</f>
        <v>#N/A</v>
      </c>
      <c r="E77" s="10" t="e">
        <f>D77/(28/6)</f>
        <v>#N/A</v>
      </c>
      <c r="F77" s="11" t="e">
        <f>D77/(28/0.2)</f>
        <v>#N/A</v>
      </c>
      <c r="G77" s="10">
        <v>0</v>
      </c>
      <c r="H77" s="12" t="e">
        <f t="shared" si="22"/>
        <v>#N/A</v>
      </c>
      <c r="I77" s="1"/>
    </row>
    <row r="78" spans="1:9" ht="15.75" customHeight="1" thickTop="1" thickBot="1" x14ac:dyDescent="0.3">
      <c r="A78" s="1"/>
      <c r="B78" s="8" t="s">
        <v>185</v>
      </c>
      <c r="C78" s="8" t="s">
        <v>7</v>
      </c>
      <c r="D78" s="9" t="e">
        <f>VLOOKUP(B78,'Nutrition Plan'!$D$99:$F$109,3,0)</f>
        <v>#N/A</v>
      </c>
      <c r="E78" s="10" t="e">
        <f>D78/(28/6.4)</f>
        <v>#N/A</v>
      </c>
      <c r="F78" s="11" t="e">
        <f>D78/(28/0.5)</f>
        <v>#N/A</v>
      </c>
      <c r="G78" s="10">
        <v>0</v>
      </c>
      <c r="H78" s="12" t="e">
        <f t="shared" si="22"/>
        <v>#N/A</v>
      </c>
      <c r="I78" s="1"/>
    </row>
    <row r="79" spans="1:9" ht="15.75" customHeight="1" thickTop="1" thickBot="1" x14ac:dyDescent="0.3">
      <c r="A79" s="1"/>
      <c r="B79" s="8" t="s">
        <v>186</v>
      </c>
      <c r="C79" s="8" t="s">
        <v>7</v>
      </c>
      <c r="D79" s="9" t="e">
        <f>VLOOKUP(B79,'Nutrition Plan'!$D$99:$F$109,3,0)</f>
        <v>#N/A</v>
      </c>
      <c r="E79" s="10" t="e">
        <f t="shared" ref="E79:E80" si="23">D79/(28/7)</f>
        <v>#N/A</v>
      </c>
      <c r="F79" s="11" t="e">
        <f>D79/(28/1)</f>
        <v>#N/A</v>
      </c>
      <c r="G79" s="10">
        <v>0</v>
      </c>
      <c r="H79" s="12" t="e">
        <f t="shared" si="22"/>
        <v>#N/A</v>
      </c>
      <c r="I79" s="1"/>
    </row>
    <row r="80" spans="1:9" ht="15.75" customHeight="1" thickTop="1" thickBot="1" x14ac:dyDescent="0.3">
      <c r="A80" s="1"/>
      <c r="B80" s="8" t="s">
        <v>187</v>
      </c>
      <c r="C80" s="8" t="s">
        <v>7</v>
      </c>
      <c r="D80" s="9" t="e">
        <f>VLOOKUP(B80,'Nutrition Plan'!$D$99:$F$109,3,0)</f>
        <v>#N/A</v>
      </c>
      <c r="E80" s="10" t="e">
        <f t="shared" si="23"/>
        <v>#N/A</v>
      </c>
      <c r="F80" s="11" t="e">
        <f>D80/(28/0.5)</f>
        <v>#N/A</v>
      </c>
      <c r="G80" s="10">
        <v>0</v>
      </c>
      <c r="H80" s="12" t="e">
        <f t="shared" si="22"/>
        <v>#N/A</v>
      </c>
      <c r="I80" s="1"/>
    </row>
    <row r="81" spans="1:9" ht="15.75" customHeight="1" thickTop="1" thickBot="1" x14ac:dyDescent="0.3">
      <c r="A81" s="1"/>
      <c r="B81" s="8" t="s">
        <v>188</v>
      </c>
      <c r="C81" s="8" t="s">
        <v>7</v>
      </c>
      <c r="D81" s="9" t="e">
        <f>VLOOKUP(B81,'Nutrition Plan'!$D$99:$F$109,3,0)</f>
        <v>#N/A</v>
      </c>
      <c r="E81" s="10" t="e">
        <f>D81/(28/6)</f>
        <v>#N/A</v>
      </c>
      <c r="F81" s="11" t="e">
        <f>D81/(28/0.25)</f>
        <v>#N/A</v>
      </c>
      <c r="G81" s="10">
        <v>0</v>
      </c>
      <c r="H81" s="12" t="e">
        <f t="shared" si="22"/>
        <v>#N/A</v>
      </c>
      <c r="I81" s="1"/>
    </row>
    <row r="82" spans="1:9" ht="15.75" customHeight="1" thickTop="1" thickBot="1" x14ac:dyDescent="0.3">
      <c r="A82" s="1"/>
      <c r="B82" s="8" t="s">
        <v>189</v>
      </c>
      <c r="C82" s="8" t="s">
        <v>7</v>
      </c>
      <c r="D82" s="9" t="e">
        <f>VLOOKUP(B82,'Nutrition Plan'!$D$99:$F$109,3,0)</f>
        <v>#N/A</v>
      </c>
      <c r="E82" s="10" t="e">
        <f>D82/(28/7)</f>
        <v>#N/A</v>
      </c>
      <c r="F82" s="11" t="e">
        <f>D82/(28/0.75)</f>
        <v>#N/A</v>
      </c>
      <c r="G82" s="10">
        <v>0</v>
      </c>
      <c r="H82" s="12" t="e">
        <f t="shared" si="22"/>
        <v>#N/A</v>
      </c>
      <c r="I82" s="1"/>
    </row>
    <row r="83" spans="1:9" ht="15.75" customHeight="1" thickTop="1" thickBot="1" x14ac:dyDescent="0.3">
      <c r="A83" s="1"/>
      <c r="B83" s="8" t="s">
        <v>190</v>
      </c>
      <c r="C83" s="8" t="s">
        <v>7</v>
      </c>
      <c r="D83" s="9" t="e">
        <f>VLOOKUP(B83,'Nutrition Plan'!$D$99:$F$109,3,0)</f>
        <v>#N/A</v>
      </c>
      <c r="E83" s="10" t="e">
        <f>D83/(113/23.98)</f>
        <v>#N/A</v>
      </c>
      <c r="F83" s="11" t="e">
        <f>D83/(113/0.28)</f>
        <v>#N/A</v>
      </c>
      <c r="G83" s="10" t="e">
        <f>D83/(113/0.2)</f>
        <v>#N/A</v>
      </c>
      <c r="H83" s="12" t="e">
        <f t="shared" si="22"/>
        <v>#N/A</v>
      </c>
      <c r="I83" s="1"/>
    </row>
    <row r="84" spans="1:9" ht="15.75" customHeight="1" thickTop="1" thickBot="1" x14ac:dyDescent="0.3">
      <c r="A84" s="1"/>
      <c r="B84" s="8" t="s">
        <v>191</v>
      </c>
      <c r="C84" s="8" t="s">
        <v>7</v>
      </c>
      <c r="D84" s="9" t="e">
        <f>VLOOKUP(B84,'Nutrition Plan'!$D$99:$F$109,3,0)</f>
        <v>#N/A</v>
      </c>
      <c r="E84" s="10" t="e">
        <f>D84/(113/15)</f>
        <v>#N/A</v>
      </c>
      <c r="F84" s="11" t="e">
        <f>D84/(113/5)</f>
        <v>#N/A</v>
      </c>
      <c r="G84" s="10">
        <f t="shared" ref="G84:G85" si="24">0</f>
        <v>0</v>
      </c>
      <c r="H84" s="12" t="e">
        <f t="shared" si="22"/>
        <v>#N/A</v>
      </c>
      <c r="I84" s="1"/>
    </row>
    <row r="85" spans="1:9" ht="15.75" customHeight="1" thickTop="1" thickBot="1" x14ac:dyDescent="0.3">
      <c r="A85" s="1"/>
      <c r="B85" s="8" t="s">
        <v>192</v>
      </c>
      <c r="C85" s="8" t="s">
        <v>7</v>
      </c>
      <c r="D85" s="9" t="e">
        <f>VLOOKUP(B85,'Nutrition Plan'!$D$99:$F$109,3,0)</f>
        <v>#N/A</v>
      </c>
      <c r="E85" s="10" t="e">
        <f>D85/(100/26.15)</f>
        <v>#N/A</v>
      </c>
      <c r="F85" s="11" t="e">
        <f>D85/(100/2.65)</f>
        <v>#N/A</v>
      </c>
      <c r="G85" s="10">
        <f t="shared" si="24"/>
        <v>0</v>
      </c>
      <c r="H85" s="12" t="e">
        <f t="shared" si="22"/>
        <v>#N/A</v>
      </c>
      <c r="I85" s="1"/>
    </row>
    <row r="86" spans="1:9" ht="15.75" customHeight="1" thickTop="1" thickBot="1" x14ac:dyDescent="0.3">
      <c r="A86" s="1"/>
      <c r="B86" s="8" t="s">
        <v>109</v>
      </c>
      <c r="C86" s="8" t="s">
        <v>7</v>
      </c>
      <c r="D86" s="9" t="e">
        <f>VLOOKUP(B86,'Nutrition Plan'!$D$99:$F$109,3,0)</f>
        <v>#N/A</v>
      </c>
      <c r="E86" s="10" t="e">
        <f>D86/(56/13)</f>
        <v>#N/A</v>
      </c>
      <c r="F86" s="11">
        <f t="shared" ref="F86:G90" si="25">0</f>
        <v>0</v>
      </c>
      <c r="G86" s="10">
        <f t="shared" si="25"/>
        <v>0</v>
      </c>
      <c r="H86" s="12" t="e">
        <f t="shared" si="22"/>
        <v>#N/A</v>
      </c>
      <c r="I86" s="1"/>
    </row>
    <row r="87" spans="1:9" ht="15.75" customHeight="1" thickTop="1" thickBot="1" x14ac:dyDescent="0.3">
      <c r="A87" s="1"/>
      <c r="B87" s="8" t="s">
        <v>110</v>
      </c>
      <c r="C87" s="8" t="s">
        <v>7</v>
      </c>
      <c r="D87" s="9" t="e">
        <f>VLOOKUP(B87,'Nutrition Plan'!$D$99:$F$109,3,0)</f>
        <v>#N/A</v>
      </c>
      <c r="E87" s="10" t="e">
        <f>D87/(56/11)</f>
        <v>#N/A</v>
      </c>
      <c r="F87" s="11">
        <f t="shared" si="25"/>
        <v>0</v>
      </c>
      <c r="G87" s="10">
        <f t="shared" si="25"/>
        <v>0</v>
      </c>
      <c r="H87" s="12" t="e">
        <f t="shared" si="22"/>
        <v>#N/A</v>
      </c>
      <c r="I87" s="1"/>
    </row>
    <row r="88" spans="1:9" ht="15.75" customHeight="1" thickTop="1" thickBot="1" x14ac:dyDescent="0.3">
      <c r="A88" s="1"/>
      <c r="B88" s="8" t="s">
        <v>111</v>
      </c>
      <c r="C88" s="8" t="s">
        <v>7</v>
      </c>
      <c r="D88" s="9" t="e">
        <f>VLOOKUP(B88,'Nutrition Plan'!$D$99:$F$109,3,0)</f>
        <v>#N/A</v>
      </c>
      <c r="E88" s="10" t="e">
        <f>D88/(56/13)</f>
        <v>#N/A</v>
      </c>
      <c r="F88" s="11">
        <f t="shared" si="25"/>
        <v>0</v>
      </c>
      <c r="G88" s="10">
        <f t="shared" si="25"/>
        <v>0</v>
      </c>
      <c r="H88" s="12" t="e">
        <f t="shared" si="22"/>
        <v>#N/A</v>
      </c>
      <c r="I88" s="1"/>
    </row>
    <row r="89" spans="1:9" ht="15.75" customHeight="1" thickTop="1" thickBot="1" x14ac:dyDescent="0.3">
      <c r="A89" s="1"/>
      <c r="B89" s="8" t="s">
        <v>193</v>
      </c>
      <c r="C89" s="8" t="s">
        <v>7</v>
      </c>
      <c r="D89" s="9" t="e">
        <f>VLOOKUP(B89,'Nutrition Plan'!$D$99:$F$109,3,0)</f>
        <v>#N/A</v>
      </c>
      <c r="E89" s="10" t="e">
        <f>D89/(85/25.5)</f>
        <v>#N/A</v>
      </c>
      <c r="F89" s="11" t="e">
        <f>D89/(85/1)</f>
        <v>#N/A</v>
      </c>
      <c r="G89" s="10">
        <f t="shared" si="25"/>
        <v>0</v>
      </c>
      <c r="H89" s="12" t="e">
        <f t="shared" si="22"/>
        <v>#N/A</v>
      </c>
      <c r="I89" s="1"/>
    </row>
    <row r="90" spans="1:9" ht="15.75" customHeight="1" thickTop="1" thickBot="1" x14ac:dyDescent="0.3">
      <c r="A90" s="1"/>
      <c r="B90" s="8" t="s">
        <v>194</v>
      </c>
      <c r="C90" s="8" t="s">
        <v>7</v>
      </c>
      <c r="D90" s="9" t="e">
        <f>VLOOKUP(B90,'Nutrition Plan'!$D$99:$F$109,3,0)</f>
        <v>#N/A</v>
      </c>
      <c r="E90" s="10" t="e">
        <f>D90/(100/25.45)</f>
        <v>#N/A</v>
      </c>
      <c r="F90" s="11" t="e">
        <f>D90/(100/8.62)</f>
        <v>#N/A</v>
      </c>
      <c r="G90" s="10">
        <f t="shared" si="25"/>
        <v>0</v>
      </c>
      <c r="H90" s="12" t="e">
        <f t="shared" si="22"/>
        <v>#N/A</v>
      </c>
      <c r="I90" s="1"/>
    </row>
    <row r="91" spans="1:9" ht="15.75" customHeight="1" thickTop="1" thickBot="1" x14ac:dyDescent="0.3">
      <c r="A91" s="1"/>
      <c r="B91" s="8" t="s">
        <v>195</v>
      </c>
      <c r="C91" s="8" t="s">
        <v>7</v>
      </c>
      <c r="D91" s="9" t="e">
        <f>VLOOKUP(B91,'Nutrition Plan'!$D$99:$F$109,3,0)</f>
        <v>#N/A</v>
      </c>
      <c r="E91" s="10" t="e">
        <f>D91/(28/8)</f>
        <v>#N/A</v>
      </c>
      <c r="F91" s="11" t="e">
        <f>D91/(28/1)</f>
        <v>#N/A</v>
      </c>
      <c r="G91" s="10">
        <v>0</v>
      </c>
      <c r="H91" s="12" t="e">
        <f t="shared" si="22"/>
        <v>#N/A</v>
      </c>
      <c r="I91" s="1"/>
    </row>
    <row r="92" spans="1:9" ht="15.75" customHeight="1" thickTop="1" thickBot="1" x14ac:dyDescent="0.3">
      <c r="A92" s="1"/>
      <c r="B92" s="8" t="s">
        <v>196</v>
      </c>
      <c r="C92" s="8" t="s">
        <v>7</v>
      </c>
      <c r="D92" s="9" t="e">
        <f>VLOOKUP(B92,'Nutrition Plan'!$D$99:$F$109,3,0)</f>
        <v>#N/A</v>
      </c>
      <c r="E92" s="10" t="e">
        <f>D92/(100/26.14)</f>
        <v>#N/A</v>
      </c>
      <c r="F92" s="11" t="e">
        <f>D92/(100/11.78)</f>
        <v>#N/A</v>
      </c>
      <c r="G92" s="10">
        <v>0</v>
      </c>
      <c r="H92" s="12" t="e">
        <f t="shared" si="22"/>
        <v>#N/A</v>
      </c>
      <c r="I92" s="1"/>
    </row>
    <row r="93" spans="1:9" ht="15.75" customHeight="1" thickTop="1" thickBot="1" x14ac:dyDescent="0.3">
      <c r="A93" s="1"/>
      <c r="B93" s="8" t="s">
        <v>197</v>
      </c>
      <c r="C93" s="8" t="s">
        <v>7</v>
      </c>
      <c r="D93" s="9" t="e">
        <f>VLOOKUP(B93,'Nutrition Plan'!$D$99:$F$109,3,0)</f>
        <v>#N/A</v>
      </c>
      <c r="E93" s="10" t="e">
        <f>D93/(100/28.88)</f>
        <v>#N/A</v>
      </c>
      <c r="F93" s="11" t="e">
        <f>D93/(100/9.51)</f>
        <v>#N/A</v>
      </c>
      <c r="G93" s="10">
        <v>0</v>
      </c>
      <c r="H93" s="12" t="e">
        <f t="shared" si="22"/>
        <v>#N/A</v>
      </c>
      <c r="I93" s="1"/>
    </row>
    <row r="94" spans="1:9" ht="15.75" customHeight="1" thickTop="1" thickBot="1" x14ac:dyDescent="0.3">
      <c r="A94" s="1"/>
      <c r="B94" s="8" t="s">
        <v>198</v>
      </c>
      <c r="C94" s="8" t="s">
        <v>7</v>
      </c>
      <c r="D94" s="9" t="e">
        <f>VLOOKUP(B94,'Nutrition Plan'!$D$99:$F$109,3,0)</f>
        <v>#N/A</v>
      </c>
      <c r="E94" s="10" t="e">
        <f>D94/(100/29.32)</f>
        <v>#N/A</v>
      </c>
      <c r="F94" s="11" t="e">
        <f>D94/(100/6.52)</f>
        <v>#N/A</v>
      </c>
      <c r="G94" s="10">
        <v>0</v>
      </c>
      <c r="H94" s="12" t="e">
        <f t="shared" si="22"/>
        <v>#N/A</v>
      </c>
      <c r="I94" s="1"/>
    </row>
    <row r="95" spans="1:9" ht="15.75" customHeight="1" thickTop="1" thickBot="1" x14ac:dyDescent="0.3">
      <c r="A95" s="1"/>
      <c r="B95" s="8" t="s">
        <v>199</v>
      </c>
      <c r="C95" s="8" t="s">
        <v>7</v>
      </c>
      <c r="D95" s="9" t="e">
        <f>VLOOKUP(B95,'Nutrition Plan'!$D$99:$F$109,3,0)</f>
        <v>#N/A</v>
      </c>
      <c r="E95" s="10" t="e">
        <f>D95/(84/23)</f>
        <v>#N/A</v>
      </c>
      <c r="F95" s="11" t="e">
        <f>D95/(84/1.5)</f>
        <v>#N/A</v>
      </c>
      <c r="G95" s="10">
        <f t="shared" ref="G95:G97" si="26">0</f>
        <v>0</v>
      </c>
      <c r="H95" s="12" t="e">
        <f t="shared" si="22"/>
        <v>#N/A</v>
      </c>
      <c r="I95" s="1"/>
    </row>
    <row r="96" spans="1:9" ht="15.75" customHeight="1" thickTop="1" thickBot="1" x14ac:dyDescent="0.3">
      <c r="A96" s="1"/>
      <c r="B96" s="8" t="s">
        <v>200</v>
      </c>
      <c r="C96" s="8" t="s">
        <v>7</v>
      </c>
      <c r="D96" s="9" t="e">
        <f>VLOOKUP(B96,'Nutrition Plan'!$D$99:$F$109,3,0)</f>
        <v>#N/A</v>
      </c>
      <c r="E96" s="10" t="e">
        <f>D96/(94/26)</f>
        <v>#N/A</v>
      </c>
      <c r="F96" s="11" t="e">
        <f>D96/(94/1)</f>
        <v>#N/A</v>
      </c>
      <c r="G96" s="10">
        <f t="shared" si="26"/>
        <v>0</v>
      </c>
      <c r="H96" s="12" t="e">
        <f t="shared" si="22"/>
        <v>#N/A</v>
      </c>
      <c r="I96" s="1"/>
    </row>
    <row r="97" spans="1:9" ht="15.75" customHeight="1" thickTop="1" thickBot="1" x14ac:dyDescent="0.3">
      <c r="A97" s="1"/>
      <c r="B97" s="8" t="s">
        <v>201</v>
      </c>
      <c r="C97" s="8" t="s">
        <v>7</v>
      </c>
      <c r="D97" s="9" t="e">
        <f>VLOOKUP(B97,'Nutrition Plan'!$D$99:$F$109,3,0)</f>
        <v>#N/A</v>
      </c>
      <c r="E97" s="10" t="e">
        <f>D97/(100/31)</f>
        <v>#N/A</v>
      </c>
      <c r="F97" s="11" t="e">
        <f>D97/(100/3.8)</f>
        <v>#N/A</v>
      </c>
      <c r="G97" s="10">
        <f t="shared" si="26"/>
        <v>0</v>
      </c>
      <c r="H97" s="12" t="e">
        <f t="shared" si="22"/>
        <v>#N/A</v>
      </c>
      <c r="I97" s="1"/>
    </row>
    <row r="98" spans="1:9" ht="15.75" customHeight="1" thickTop="1" thickBot="1" x14ac:dyDescent="0.3">
      <c r="A98" s="1"/>
      <c r="B98" s="8" t="s">
        <v>202</v>
      </c>
      <c r="C98" s="8" t="s">
        <v>7</v>
      </c>
      <c r="D98" s="9" t="e">
        <f>VLOOKUP(B98,'Nutrition Plan'!$D$99:$F$109,3,0)</f>
        <v>#N/A</v>
      </c>
      <c r="E98" s="10" t="e">
        <f>D98/(28/6.57)</f>
        <v>#N/A</v>
      </c>
      <c r="F98" s="11" t="e">
        <f>D98/(28/3.14)</f>
        <v>#N/A</v>
      </c>
      <c r="G98" s="10">
        <v>0</v>
      </c>
      <c r="H98" s="12" t="e">
        <f t="shared" si="22"/>
        <v>#N/A</v>
      </c>
      <c r="I98" s="1"/>
    </row>
    <row r="99" spans="1:9" ht="15.75" customHeight="1" thickTop="1" thickBot="1" x14ac:dyDescent="0.3">
      <c r="A99" s="1"/>
      <c r="B99" s="8" t="s">
        <v>112</v>
      </c>
      <c r="C99" s="8" t="s">
        <v>22</v>
      </c>
      <c r="D99" s="9" t="e">
        <f>VLOOKUP(B99,'Nutrition Plan'!$D$99:$F$109,3,0)</f>
        <v>#N/A</v>
      </c>
      <c r="E99" s="10" t="e">
        <f>D99/(28/6)</f>
        <v>#N/A</v>
      </c>
      <c r="F99" s="11" t="e">
        <f>D99/(28/1.5)</f>
        <v>#N/A</v>
      </c>
      <c r="G99" s="10" t="e">
        <f>D99/(28/1)</f>
        <v>#N/A</v>
      </c>
      <c r="H99" s="12" t="e">
        <f t="shared" si="22"/>
        <v>#N/A</v>
      </c>
      <c r="I99" s="1"/>
    </row>
    <row r="100" spans="1:9" ht="15.75" customHeight="1" thickTop="1" thickBot="1" x14ac:dyDescent="0.3">
      <c r="A100" s="1"/>
      <c r="B100" s="8" t="s">
        <v>113</v>
      </c>
      <c r="C100" s="8" t="s">
        <v>114</v>
      </c>
      <c r="D100" s="9" t="e">
        <f>VLOOKUP(B100,'Nutrition Plan'!$D$99:$F$109,3,0)</f>
        <v>#N/A</v>
      </c>
      <c r="E100" s="10" t="e">
        <f>D100/(1/21)</f>
        <v>#N/A</v>
      </c>
      <c r="F100" s="11" t="e">
        <f t="shared" ref="F100:F101" si="27">D100/(1/9)</f>
        <v>#N/A</v>
      </c>
      <c r="G100" s="10">
        <f t="shared" ref="G100:G101" si="28">0</f>
        <v>0</v>
      </c>
      <c r="H100" s="12" t="e">
        <f t="shared" si="22"/>
        <v>#N/A</v>
      </c>
      <c r="I100" s="1"/>
    </row>
    <row r="101" spans="1:9" ht="15.75" customHeight="1" thickTop="1" thickBot="1" x14ac:dyDescent="0.3">
      <c r="A101" s="1"/>
      <c r="B101" s="8" t="s">
        <v>115</v>
      </c>
      <c r="C101" s="8" t="s">
        <v>114</v>
      </c>
      <c r="D101" s="9" t="e">
        <f>VLOOKUP(B101,'Nutrition Plan'!$D$99:$F$109,3,0)</f>
        <v>#N/A</v>
      </c>
      <c r="E101" s="10" t="e">
        <f>D101/(1/20)</f>
        <v>#N/A</v>
      </c>
      <c r="F101" s="11" t="e">
        <f t="shared" si="27"/>
        <v>#N/A</v>
      </c>
      <c r="G101" s="10">
        <f t="shared" si="28"/>
        <v>0</v>
      </c>
      <c r="H101" s="12" t="e">
        <f t="shared" si="22"/>
        <v>#N/A</v>
      </c>
      <c r="I101" s="1"/>
    </row>
    <row r="102" spans="1:9" ht="15.75" customHeight="1" thickTop="1" thickBot="1" x14ac:dyDescent="0.3">
      <c r="A102" s="1"/>
      <c r="B102" s="8" t="s">
        <v>116</v>
      </c>
      <c r="C102" s="8" t="s">
        <v>7</v>
      </c>
      <c r="D102" s="9" t="e">
        <f>VLOOKUP(B102,'Nutrition Plan'!$D$99:$F$109,3,0)</f>
        <v>#N/A</v>
      </c>
      <c r="E102" s="10" t="e">
        <f>D102/(28/6)</f>
        <v>#N/A</v>
      </c>
      <c r="F102" s="11" t="e">
        <f>D102/(28/1.5)</f>
        <v>#N/A</v>
      </c>
      <c r="G102" s="10">
        <v>0</v>
      </c>
      <c r="H102" s="12" t="e">
        <f t="shared" si="22"/>
        <v>#N/A</v>
      </c>
      <c r="I102" s="1"/>
    </row>
    <row r="103" spans="1:9" ht="15.75" customHeight="1" thickTop="1" thickBot="1" x14ac:dyDescent="0.3">
      <c r="A103" s="1"/>
      <c r="B103" s="8" t="s">
        <v>117</v>
      </c>
      <c r="C103" s="8" t="s">
        <v>7</v>
      </c>
      <c r="D103" s="9" t="e">
        <f>VLOOKUP(B103,'Nutrition Plan'!$D$99:$F$109,3,0)</f>
        <v>#N/A</v>
      </c>
      <c r="E103" s="10" t="e">
        <f>D103/(28/5.28)</f>
        <v>#N/A</v>
      </c>
      <c r="F103" s="11" t="e">
        <f>D103/(28/2.13)</f>
        <v>#N/A</v>
      </c>
      <c r="G103" s="10">
        <v>0</v>
      </c>
      <c r="H103" s="12" t="e">
        <f t="shared" si="22"/>
        <v>#N/A</v>
      </c>
      <c r="I103" s="1"/>
    </row>
    <row r="104" spans="1:9" ht="15.75" customHeight="1" thickTop="1" thickBot="1" x14ac:dyDescent="0.3">
      <c r="A104" s="1"/>
      <c r="B104" s="8" t="s">
        <v>203</v>
      </c>
      <c r="C104" s="8" t="s">
        <v>7</v>
      </c>
      <c r="D104" s="9" t="e">
        <f>VLOOKUP(B104,'Nutrition Plan'!$D$99:$F$109,3,0)</f>
        <v>#N/A</v>
      </c>
      <c r="E104" s="10" t="e">
        <f t="shared" ref="E104:E105" si="29">D104/(28/8)</f>
        <v>#N/A</v>
      </c>
      <c r="F104" s="11" t="e">
        <f t="shared" ref="F104:F105" si="30">D104/(28/3)</f>
        <v>#N/A</v>
      </c>
      <c r="G104" s="10">
        <v>0</v>
      </c>
      <c r="H104" s="12" t="e">
        <f t="shared" si="22"/>
        <v>#N/A</v>
      </c>
      <c r="I104" s="1"/>
    </row>
    <row r="105" spans="1:9" ht="15.75" customHeight="1" thickTop="1" thickBot="1" x14ac:dyDescent="0.3">
      <c r="A105" s="1"/>
      <c r="B105" s="8" t="s">
        <v>204</v>
      </c>
      <c r="C105" s="8" t="s">
        <v>7</v>
      </c>
      <c r="D105" s="9" t="e">
        <f>VLOOKUP(B105,'Nutrition Plan'!$D$99:$F$109,3,0)</f>
        <v>#N/A</v>
      </c>
      <c r="E105" s="10" t="e">
        <f t="shared" si="29"/>
        <v>#N/A</v>
      </c>
      <c r="F105" s="11" t="e">
        <f t="shared" si="30"/>
        <v>#N/A</v>
      </c>
      <c r="G105" s="10">
        <v>0</v>
      </c>
      <c r="H105" s="12" t="e">
        <f t="shared" si="22"/>
        <v>#N/A</v>
      </c>
      <c r="I105" s="1"/>
    </row>
    <row r="106" spans="1:9" ht="15.75" customHeight="1" thickTop="1" thickBot="1" x14ac:dyDescent="0.3">
      <c r="A106" s="1"/>
      <c r="B106" s="8" t="s">
        <v>205</v>
      </c>
      <c r="C106" s="8" t="s">
        <v>7</v>
      </c>
      <c r="D106" s="9" t="e">
        <f>VLOOKUP(B106,'Nutrition Plan'!$D$99:$F$109,3,0)</f>
        <v>#N/A</v>
      </c>
      <c r="E106" s="10" t="e">
        <f>D106/(100/22.7)</f>
        <v>#N/A</v>
      </c>
      <c r="F106" s="11" t="e">
        <f>D106/(100/3.8)</f>
        <v>#N/A</v>
      </c>
      <c r="G106" s="10">
        <f t="shared" ref="G106:G108" si="31">0</f>
        <v>0</v>
      </c>
      <c r="H106" s="12" t="e">
        <f t="shared" si="22"/>
        <v>#N/A</v>
      </c>
      <c r="I106" s="1"/>
    </row>
    <row r="107" spans="1:9" ht="15.75" customHeight="1" thickTop="1" thickBot="1" x14ac:dyDescent="0.3">
      <c r="A107" s="1"/>
      <c r="B107" s="8" t="s">
        <v>206</v>
      </c>
      <c r="C107" s="8" t="s">
        <v>7</v>
      </c>
      <c r="D107" s="9" t="e">
        <f>VLOOKUP(B107,'Nutrition Plan'!$D$99:$F$109,3,0)</f>
        <v>#N/A</v>
      </c>
      <c r="E107" s="10" t="e">
        <f>D107/(100/30.24)</f>
        <v>#N/A</v>
      </c>
      <c r="F107" s="11" t="e">
        <f>D107/(100/4.11)</f>
        <v>#N/A</v>
      </c>
      <c r="G107" s="10">
        <f t="shared" si="31"/>
        <v>0</v>
      </c>
      <c r="H107" s="12" t="e">
        <f t="shared" si="22"/>
        <v>#N/A</v>
      </c>
      <c r="I107" s="1"/>
    </row>
    <row r="108" spans="1:9" ht="15.75" customHeight="1" thickTop="1" thickBot="1" x14ac:dyDescent="0.3">
      <c r="A108" s="1"/>
      <c r="B108" s="8" t="s">
        <v>207</v>
      </c>
      <c r="C108" s="8" t="s">
        <v>7</v>
      </c>
      <c r="D108" s="9" t="e">
        <f>VLOOKUP(B108,'Nutrition Plan'!$D$99:$F$109,3,0)</f>
        <v>#N/A</v>
      </c>
      <c r="E108" s="10" t="e">
        <f>D108/(100/30.7)</f>
        <v>#N/A</v>
      </c>
      <c r="F108" s="11" t="e">
        <f>D108/(100/10.27)</f>
        <v>#N/A</v>
      </c>
      <c r="G108" s="10">
        <f t="shared" si="31"/>
        <v>0</v>
      </c>
      <c r="H108" s="12" t="e">
        <f t="shared" si="22"/>
        <v>#N/A</v>
      </c>
      <c r="I108" s="1"/>
    </row>
    <row r="109" spans="1:9" ht="15.75" customHeight="1" thickTop="1" x14ac:dyDescent="0.3">
      <c r="A109" s="1"/>
      <c r="B109" s="173" t="s">
        <v>36</v>
      </c>
      <c r="C109" s="174"/>
      <c r="D109" s="174"/>
      <c r="E109" s="174"/>
      <c r="F109" s="174"/>
      <c r="G109" s="174"/>
      <c r="H109" s="134"/>
      <c r="I109" s="1"/>
    </row>
    <row r="110" spans="1:9" ht="15.75" customHeight="1" thickBot="1" x14ac:dyDescent="0.3">
      <c r="A110" s="1"/>
      <c r="B110" s="8" t="s">
        <v>118</v>
      </c>
      <c r="C110" s="8" t="s">
        <v>7</v>
      </c>
      <c r="D110" s="9" t="e">
        <f>VLOOKUP(B110,'Nutrition Plan'!$D$99:$F$109,3,0)</f>
        <v>#N/A</v>
      </c>
      <c r="E110" s="10" t="e">
        <f>D110/(32.5/25)</f>
        <v>#N/A</v>
      </c>
      <c r="F110" s="11" t="e">
        <f>D110/(32.5/1)</f>
        <v>#N/A</v>
      </c>
      <c r="G110" s="10" t="e">
        <f>D110/(32.5/3)</f>
        <v>#N/A</v>
      </c>
      <c r="H110" s="12" t="e">
        <f t="shared" ref="H110:H131" si="32">(E110*4)+(F110*9)+(G110*4)</f>
        <v>#N/A</v>
      </c>
      <c r="I110" s="1"/>
    </row>
    <row r="111" spans="1:9" ht="15.75" customHeight="1" thickTop="1" thickBot="1" x14ac:dyDescent="0.3">
      <c r="A111" s="1"/>
      <c r="B111" s="8" t="s">
        <v>119</v>
      </c>
      <c r="C111" s="8" t="s">
        <v>7</v>
      </c>
      <c r="D111" s="9" t="e">
        <f>VLOOKUP(B111,'Nutrition Plan'!$D$99:$F$109,3,0)</f>
        <v>#N/A</v>
      </c>
      <c r="E111" s="10" t="e">
        <f>D111/(32/25)</f>
        <v>#N/A</v>
      </c>
      <c r="F111" s="11" t="e">
        <f>D111/(32/1.5)</f>
        <v>#N/A</v>
      </c>
      <c r="G111" s="10" t="e">
        <f>D111/(32/3)</f>
        <v>#N/A</v>
      </c>
      <c r="H111" s="12" t="e">
        <f t="shared" si="32"/>
        <v>#N/A</v>
      </c>
      <c r="I111" s="1"/>
    </row>
    <row r="112" spans="1:9" ht="15.75" customHeight="1" thickTop="1" thickBot="1" x14ac:dyDescent="0.3">
      <c r="A112" s="1"/>
      <c r="B112" s="8" t="s">
        <v>120</v>
      </c>
      <c r="C112" s="8" t="s">
        <v>7</v>
      </c>
      <c r="D112" s="9" t="e">
        <f>VLOOKUP(B112,'Nutrition Plan'!$D$99:$F$109,3,0)</f>
        <v>#N/A</v>
      </c>
      <c r="E112" s="10" t="e">
        <f>D112/(36/25)</f>
        <v>#N/A</v>
      </c>
      <c r="F112" s="11" t="e">
        <f>D112/(36/1.5)</f>
        <v>#N/A</v>
      </c>
      <c r="G112" s="10" t="e">
        <f>D112/(36/3)</f>
        <v>#N/A</v>
      </c>
      <c r="H112" s="12" t="e">
        <f t="shared" si="32"/>
        <v>#N/A</v>
      </c>
      <c r="I112" s="1"/>
    </row>
    <row r="113" spans="1:9" ht="15.75" customHeight="1" thickTop="1" thickBot="1" x14ac:dyDescent="0.3">
      <c r="A113" s="1"/>
      <c r="B113" s="8" t="s">
        <v>121</v>
      </c>
      <c r="C113" s="8" t="s">
        <v>7</v>
      </c>
      <c r="D113" s="9" t="e">
        <f>VLOOKUP(B113,'Nutrition Plan'!$D$99:$F$109,3,0)</f>
        <v>#N/A</v>
      </c>
      <c r="E113" s="10" t="e">
        <f t="shared" ref="E113:E114" si="33">D113/(33/25)</f>
        <v>#N/A</v>
      </c>
      <c r="F113" s="11" t="e">
        <f t="shared" ref="F113:F114" si="34">D113/(33/1.5)</f>
        <v>#N/A</v>
      </c>
      <c r="G113" s="10" t="e">
        <f t="shared" ref="G113:G114" si="35">D113/(33/3)</f>
        <v>#N/A</v>
      </c>
      <c r="H113" s="12" t="e">
        <f t="shared" si="32"/>
        <v>#N/A</v>
      </c>
      <c r="I113" s="1"/>
    </row>
    <row r="114" spans="1:9" ht="15.75" customHeight="1" thickTop="1" thickBot="1" x14ac:dyDescent="0.3">
      <c r="A114" s="1"/>
      <c r="B114" s="8" t="s">
        <v>122</v>
      </c>
      <c r="C114" s="8" t="s">
        <v>7</v>
      </c>
      <c r="D114" s="9" t="e">
        <f>VLOOKUP(B114,'Nutrition Plan'!$D$99:$F$109,3,0)</f>
        <v>#N/A</v>
      </c>
      <c r="E114" s="10" t="e">
        <f t="shared" si="33"/>
        <v>#N/A</v>
      </c>
      <c r="F114" s="11" t="e">
        <f t="shared" si="34"/>
        <v>#N/A</v>
      </c>
      <c r="G114" s="10" t="e">
        <f t="shared" si="35"/>
        <v>#N/A</v>
      </c>
      <c r="H114" s="12" t="e">
        <f t="shared" si="32"/>
        <v>#N/A</v>
      </c>
      <c r="I114" s="1"/>
    </row>
    <row r="115" spans="1:9" ht="15.75" customHeight="1" thickTop="1" thickBot="1" x14ac:dyDescent="0.3">
      <c r="A115" s="1"/>
      <c r="B115" s="8" t="s">
        <v>123</v>
      </c>
      <c r="C115" s="8" t="s">
        <v>7</v>
      </c>
      <c r="D115" s="9" t="e">
        <f>VLOOKUP(B115,'Nutrition Plan'!$D$99:$F$109,3,0)</f>
        <v>#N/A</v>
      </c>
      <c r="E115" s="10" t="e">
        <f>D115/(36/25)</f>
        <v>#N/A</v>
      </c>
      <c r="F115" s="11" t="e">
        <f>D115/(36/1.5)</f>
        <v>#N/A</v>
      </c>
      <c r="G115" s="10" t="e">
        <f>D115/(36/5)</f>
        <v>#N/A</v>
      </c>
      <c r="H115" s="12" t="e">
        <f t="shared" si="32"/>
        <v>#N/A</v>
      </c>
      <c r="I115" s="1"/>
    </row>
    <row r="116" spans="1:9" ht="15.75" customHeight="1" thickTop="1" thickBot="1" x14ac:dyDescent="0.3">
      <c r="A116" s="1"/>
      <c r="B116" s="8" t="s">
        <v>124</v>
      </c>
      <c r="C116" s="8" t="s">
        <v>7</v>
      </c>
      <c r="D116" s="9" t="e">
        <f>VLOOKUP(B116,'Nutrition Plan'!$D$99:$F$109,3,0)</f>
        <v>#N/A</v>
      </c>
      <c r="E116" s="10" t="e">
        <f>D116/(29/25)</f>
        <v>#N/A</v>
      </c>
      <c r="F116" s="11">
        <f>0</f>
        <v>0</v>
      </c>
      <c r="G116" s="10" t="e">
        <f>D116/(29/1)</f>
        <v>#N/A</v>
      </c>
      <c r="H116" s="12" t="e">
        <f t="shared" si="32"/>
        <v>#N/A</v>
      </c>
      <c r="I116" s="1"/>
    </row>
    <row r="117" spans="1:9" ht="15.75" customHeight="1" thickTop="1" thickBot="1" x14ac:dyDescent="0.3">
      <c r="A117" s="1"/>
      <c r="B117" s="8" t="s">
        <v>125</v>
      </c>
      <c r="C117" s="8" t="s">
        <v>7</v>
      </c>
      <c r="D117" s="9" t="e">
        <f>VLOOKUP(B117,'Nutrition Plan'!$D$99:$F$109,3,0)</f>
        <v>#N/A</v>
      </c>
      <c r="E117" s="10" t="e">
        <f>D117/(31/25)</f>
        <v>#N/A</v>
      </c>
      <c r="F117" s="11" t="e">
        <f>D117/(31/0.5)</f>
        <v>#N/A</v>
      </c>
      <c r="G117" s="10" t="e">
        <f>D117/(31/2)</f>
        <v>#N/A</v>
      </c>
      <c r="H117" s="12" t="e">
        <f t="shared" si="32"/>
        <v>#N/A</v>
      </c>
      <c r="I117" s="1"/>
    </row>
    <row r="118" spans="1:9" ht="15.75" customHeight="1" thickTop="1" thickBot="1" x14ac:dyDescent="0.3">
      <c r="A118" s="1"/>
      <c r="B118" s="8" t="s">
        <v>126</v>
      </c>
      <c r="C118" s="8" t="s">
        <v>7</v>
      </c>
      <c r="D118" s="9" t="e">
        <f>VLOOKUP(B118,'Nutrition Plan'!$D$99:$F$109,3,0)</f>
        <v>#N/A</v>
      </c>
      <c r="E118" s="10" t="e">
        <f>D118/(30.1/25)</f>
        <v>#N/A</v>
      </c>
      <c r="F118" s="11">
        <f t="shared" ref="F118:F119" si="36">0</f>
        <v>0</v>
      </c>
      <c r="G118" s="10" t="e">
        <f>D118/(30.1/1)</f>
        <v>#N/A</v>
      </c>
      <c r="H118" s="12" t="e">
        <f t="shared" si="32"/>
        <v>#N/A</v>
      </c>
      <c r="I118" s="1"/>
    </row>
    <row r="119" spans="1:9" ht="15.75" customHeight="1" thickTop="1" thickBot="1" x14ac:dyDescent="0.3">
      <c r="A119" s="1"/>
      <c r="B119" s="8" t="s">
        <v>127</v>
      </c>
      <c r="C119" s="8" t="s">
        <v>7</v>
      </c>
      <c r="D119" s="9" t="e">
        <f>VLOOKUP(B119,'Nutrition Plan'!$D$99:$F$109,3,0)</f>
        <v>#N/A</v>
      </c>
      <c r="E119" s="10" t="e">
        <f>D119/(29/25)</f>
        <v>#N/A</v>
      </c>
      <c r="F119" s="11">
        <f t="shared" si="36"/>
        <v>0</v>
      </c>
      <c r="G119" s="10" t="e">
        <f>D119/(29/1)</f>
        <v>#N/A</v>
      </c>
      <c r="H119" s="12" t="e">
        <f t="shared" si="32"/>
        <v>#N/A</v>
      </c>
      <c r="I119" s="1"/>
    </row>
    <row r="120" spans="1:9" ht="15.75" customHeight="1" thickTop="1" thickBot="1" x14ac:dyDescent="0.3">
      <c r="A120" s="1"/>
      <c r="B120" s="8" t="s">
        <v>128</v>
      </c>
      <c r="C120" s="8" t="s">
        <v>7</v>
      </c>
      <c r="D120" s="9" t="e">
        <f>VLOOKUP(B120,'Nutrition Plan'!$D$99:$F$109,3,0)</f>
        <v>#N/A</v>
      </c>
      <c r="E120" s="10" t="e">
        <f>D120/(39.5/24)</f>
        <v>#N/A</v>
      </c>
      <c r="F120" s="11" t="e">
        <f>D120/(39.5/3.5)</f>
        <v>#N/A</v>
      </c>
      <c r="G120" s="10" t="e">
        <f>D120/(39.5/8)</f>
        <v>#N/A</v>
      </c>
      <c r="H120" s="12" t="e">
        <f t="shared" si="32"/>
        <v>#N/A</v>
      </c>
      <c r="I120" s="1"/>
    </row>
    <row r="121" spans="1:9" ht="15.75" customHeight="1" thickTop="1" thickBot="1" x14ac:dyDescent="0.3">
      <c r="A121" s="1"/>
      <c r="B121" s="8" t="s">
        <v>129</v>
      </c>
      <c r="C121" s="8" t="s">
        <v>7</v>
      </c>
      <c r="D121" s="9" t="e">
        <f>VLOOKUP(B121,'Nutrition Plan'!$D$99:$F$109,3,0)</f>
        <v>#N/A</v>
      </c>
      <c r="E121" s="10" t="e">
        <f>D121/(36.5/24)</f>
        <v>#N/A</v>
      </c>
      <c r="F121" s="11" t="e">
        <f>D121/(36.5/3.5)</f>
        <v>#N/A</v>
      </c>
      <c r="G121" s="10" t="e">
        <f>D121/(36.5/5)</f>
        <v>#N/A</v>
      </c>
      <c r="H121" s="12" t="e">
        <f t="shared" si="32"/>
        <v>#N/A</v>
      </c>
      <c r="I121" s="1"/>
    </row>
    <row r="122" spans="1:9" ht="15.75" customHeight="1" thickTop="1" thickBot="1" x14ac:dyDescent="0.3">
      <c r="A122" s="1"/>
      <c r="B122" s="8" t="s">
        <v>130</v>
      </c>
      <c r="C122" s="8" t="s">
        <v>7</v>
      </c>
      <c r="D122" s="9" t="e">
        <f>VLOOKUP(B122,'Nutrition Plan'!$D$99:$F$109,3,0)</f>
        <v>#N/A</v>
      </c>
      <c r="E122" s="10" t="e">
        <f>D122/(37.1/24)</f>
        <v>#N/A</v>
      </c>
      <c r="F122" s="11" t="e">
        <f>D122/(37.1/3.5)</f>
        <v>#N/A</v>
      </c>
      <c r="G122" s="10" t="e">
        <f>D122/(37.1/6)</f>
        <v>#N/A</v>
      </c>
      <c r="H122" s="12" t="e">
        <f t="shared" si="32"/>
        <v>#N/A</v>
      </c>
      <c r="I122" s="1"/>
    </row>
    <row r="123" spans="1:9" ht="15.75" customHeight="1" thickTop="1" thickBot="1" x14ac:dyDescent="0.3">
      <c r="A123" s="1"/>
      <c r="B123" s="8" t="s">
        <v>131</v>
      </c>
      <c r="C123" s="8" t="s">
        <v>7</v>
      </c>
      <c r="D123" s="9" t="e">
        <f>VLOOKUP(B123,'Nutrition Plan'!$D$99:$F$109,3,0)</f>
        <v>#N/A</v>
      </c>
      <c r="E123" s="10" t="e">
        <f>D123/(36.3/24)</f>
        <v>#N/A</v>
      </c>
      <c r="F123" s="11" t="e">
        <f>D123/(36.3/3.5)</f>
        <v>#N/A</v>
      </c>
      <c r="G123" s="10" t="e">
        <f>D123/(36.3/5)</f>
        <v>#N/A</v>
      </c>
      <c r="H123" s="12" t="e">
        <f t="shared" si="32"/>
        <v>#N/A</v>
      </c>
      <c r="I123" s="1"/>
    </row>
    <row r="124" spans="1:9" ht="15.75" customHeight="1" thickTop="1" thickBot="1" x14ac:dyDescent="0.3">
      <c r="A124" s="1"/>
      <c r="B124" s="8" t="s">
        <v>132</v>
      </c>
      <c r="C124" s="8" t="s">
        <v>7</v>
      </c>
      <c r="D124" s="9" t="e">
        <f>VLOOKUP(B124,'Nutrition Plan'!$D$99:$F$109,3,0)</f>
        <v>#N/A</v>
      </c>
      <c r="E124" s="10" t="e">
        <f>D124/(23/20)</f>
        <v>#N/A</v>
      </c>
      <c r="F124" s="11" t="e">
        <f>D124/(23/0.56)</f>
        <v>#N/A</v>
      </c>
      <c r="G124" s="10">
        <f>0</f>
        <v>0</v>
      </c>
      <c r="H124" s="12" t="e">
        <f t="shared" si="32"/>
        <v>#N/A</v>
      </c>
      <c r="I124" s="1"/>
    </row>
    <row r="125" spans="1:9" ht="15.75" customHeight="1" thickTop="1" thickBot="1" x14ac:dyDescent="0.3">
      <c r="A125" s="1"/>
      <c r="B125" s="8" t="s">
        <v>133</v>
      </c>
      <c r="C125" s="8" t="s">
        <v>134</v>
      </c>
      <c r="D125" s="9" t="e">
        <f>VLOOKUP(B125,'Nutrition Plan'!$D$99:$F$109,3,0)</f>
        <v>#N/A</v>
      </c>
      <c r="E125" s="10" t="e">
        <f>D125/(1/23)</f>
        <v>#N/A</v>
      </c>
      <c r="F125" s="11" t="e">
        <f>D125/(1/8)</f>
        <v>#N/A</v>
      </c>
      <c r="G125" s="10" t="e">
        <f>D125/(1/21)</f>
        <v>#N/A</v>
      </c>
      <c r="H125" s="12" t="e">
        <f t="shared" si="32"/>
        <v>#N/A</v>
      </c>
      <c r="I125" s="1"/>
    </row>
    <row r="126" spans="1:9" ht="15.75" customHeight="1" thickTop="1" thickBot="1" x14ac:dyDescent="0.3">
      <c r="A126" s="1"/>
      <c r="B126" s="8" t="s">
        <v>135</v>
      </c>
      <c r="C126" s="8" t="s">
        <v>134</v>
      </c>
      <c r="D126" s="9" t="e">
        <f>VLOOKUP(B126,'Nutrition Plan'!$D$99:$F$109,3,0)</f>
        <v>#N/A</v>
      </c>
      <c r="E126" s="10" t="e">
        <f>D126/(1/13)</f>
        <v>#N/A</v>
      </c>
      <c r="F126" s="11" t="e">
        <f>D126/(1/12)</f>
        <v>#N/A</v>
      </c>
      <c r="G126" s="10" t="e">
        <f>D126/(1/10)</f>
        <v>#N/A</v>
      </c>
      <c r="H126" s="12" t="e">
        <f t="shared" si="32"/>
        <v>#N/A</v>
      </c>
      <c r="I126" s="1"/>
    </row>
    <row r="127" spans="1:9" ht="15.75" customHeight="1" thickTop="1" thickBot="1" x14ac:dyDescent="0.3">
      <c r="A127" s="1"/>
      <c r="B127" s="8" t="s">
        <v>136</v>
      </c>
      <c r="C127" s="8" t="s">
        <v>134</v>
      </c>
      <c r="D127" s="9" t="e">
        <f>VLOOKUP(B127,'Nutrition Plan'!$D$99:$F$109,3,0)</f>
        <v>#N/A</v>
      </c>
      <c r="E127" s="10" t="e">
        <f t="shared" ref="E127:E128" si="37">D127/(1/21)</f>
        <v>#N/A</v>
      </c>
      <c r="F127" s="11" t="e">
        <f>D127/(1/8)</f>
        <v>#N/A</v>
      </c>
      <c r="G127" s="10" t="e">
        <f t="shared" ref="G127:G128" si="38">D127/(1/5)</f>
        <v>#N/A</v>
      </c>
      <c r="H127" s="12" t="e">
        <f t="shared" si="32"/>
        <v>#N/A</v>
      </c>
      <c r="I127" s="1"/>
    </row>
    <row r="128" spans="1:9" ht="15.75" customHeight="1" thickTop="1" thickBot="1" x14ac:dyDescent="0.3">
      <c r="A128" s="1"/>
      <c r="B128" s="8" t="s">
        <v>137</v>
      </c>
      <c r="C128" s="8" t="s">
        <v>134</v>
      </c>
      <c r="D128" s="9" t="e">
        <f>VLOOKUP(B128,'Nutrition Plan'!$D$99:$F$109,3,0)</f>
        <v>#N/A</v>
      </c>
      <c r="E128" s="10" t="e">
        <f t="shared" si="37"/>
        <v>#N/A</v>
      </c>
      <c r="F128" s="11" t="e">
        <f>D128/(1/7)</f>
        <v>#N/A</v>
      </c>
      <c r="G128" s="10" t="e">
        <f t="shared" si="38"/>
        <v>#N/A</v>
      </c>
      <c r="H128" s="12" t="e">
        <f t="shared" si="32"/>
        <v>#N/A</v>
      </c>
      <c r="I128" s="1"/>
    </row>
    <row r="129" spans="1:9" ht="15.75" customHeight="1" thickTop="1" thickBot="1" x14ac:dyDescent="0.3">
      <c r="A129" s="1"/>
      <c r="B129" s="8" t="s">
        <v>138</v>
      </c>
      <c r="C129" s="8" t="s">
        <v>134</v>
      </c>
      <c r="D129" s="9" t="e">
        <f>VLOOKUP(B129,'Nutrition Plan'!$D$99:$F$109,3,0)</f>
        <v>#N/A</v>
      </c>
      <c r="E129" s="10" t="e">
        <f t="shared" ref="E129:E131" si="39">D129/(1/20)</f>
        <v>#N/A</v>
      </c>
      <c r="F129" s="11" t="e">
        <f>D129/(1/9)</f>
        <v>#N/A</v>
      </c>
      <c r="G129" s="10" t="e">
        <f>D129/(1/4)</f>
        <v>#N/A</v>
      </c>
      <c r="H129" s="12" t="e">
        <f t="shared" si="32"/>
        <v>#N/A</v>
      </c>
      <c r="I129" s="1"/>
    </row>
    <row r="130" spans="1:9" ht="15.75" customHeight="1" thickTop="1" thickBot="1" x14ac:dyDescent="0.3">
      <c r="A130" s="1"/>
      <c r="B130" s="8" t="s">
        <v>139</v>
      </c>
      <c r="C130" s="8" t="s">
        <v>134</v>
      </c>
      <c r="D130" s="9" t="e">
        <f>VLOOKUP(B130,'Nutrition Plan'!$D$99:$F$109,3,0)</f>
        <v>#N/A</v>
      </c>
      <c r="E130" s="10" t="e">
        <f t="shared" si="39"/>
        <v>#N/A</v>
      </c>
      <c r="F130" s="11" t="e">
        <f t="shared" ref="F130:F131" si="40">D130/(1/8)</f>
        <v>#N/A</v>
      </c>
      <c r="G130" s="10" t="e">
        <f t="shared" ref="G130:G131" si="41">D130/(1/22)</f>
        <v>#N/A</v>
      </c>
      <c r="H130" s="12" t="e">
        <f t="shared" si="32"/>
        <v>#N/A</v>
      </c>
      <c r="I130" s="1"/>
    </row>
    <row r="131" spans="1:9" ht="15.75" customHeight="1" thickTop="1" thickBot="1" x14ac:dyDescent="0.3">
      <c r="A131" s="1"/>
      <c r="B131" s="8" t="s">
        <v>140</v>
      </c>
      <c r="C131" s="8" t="s">
        <v>134</v>
      </c>
      <c r="D131" s="9" t="e">
        <f>VLOOKUP(B131,'Nutrition Plan'!$D$99:$F$109,3,0)</f>
        <v>#N/A</v>
      </c>
      <c r="E131" s="10" t="e">
        <f t="shared" si="39"/>
        <v>#N/A</v>
      </c>
      <c r="F131" s="11" t="e">
        <f t="shared" si="40"/>
        <v>#N/A</v>
      </c>
      <c r="G131" s="10" t="e">
        <f t="shared" si="41"/>
        <v>#N/A</v>
      </c>
      <c r="H131" s="12" t="e">
        <f t="shared" si="32"/>
        <v>#N/A</v>
      </c>
      <c r="I131" s="1"/>
    </row>
    <row r="132" spans="1:9" ht="15.75" customHeight="1" thickTop="1" x14ac:dyDescent="0.3">
      <c r="A132" s="1"/>
      <c r="B132" s="173" t="s">
        <v>37</v>
      </c>
      <c r="C132" s="174"/>
      <c r="D132" s="174"/>
      <c r="E132" s="174"/>
      <c r="F132" s="174"/>
      <c r="G132" s="174"/>
      <c r="H132" s="134"/>
      <c r="I132" s="1"/>
    </row>
    <row r="133" spans="1:9" ht="15.75" customHeight="1" thickBot="1" x14ac:dyDescent="0.3">
      <c r="A133" s="1"/>
      <c r="B133" s="8" t="s">
        <v>141</v>
      </c>
      <c r="C133" s="8" t="s">
        <v>7</v>
      </c>
      <c r="D133" s="9" t="e">
        <f>VLOOKUP(B133,'Nutrition Plan'!$D$99:$F$109,3,0)</f>
        <v>#N/A</v>
      </c>
      <c r="E133" s="10" t="e">
        <f>D133/(100/0.2)</f>
        <v>#N/A</v>
      </c>
      <c r="F133" s="11" t="e">
        <f>D133/(100/0.18)</f>
        <v>#N/A</v>
      </c>
      <c r="G133" s="10" t="e">
        <f>D133/(100/15.22)</f>
        <v>#N/A</v>
      </c>
      <c r="H133" s="12" t="e">
        <f t="shared" ref="H133:H159" si="42">(E133*4)+(F133*9)+(G133*4)</f>
        <v>#N/A</v>
      </c>
      <c r="I133" s="1"/>
    </row>
    <row r="134" spans="1:9" ht="15.75" customHeight="1" thickTop="1" thickBot="1" x14ac:dyDescent="0.3">
      <c r="A134" s="1"/>
      <c r="B134" s="8" t="s">
        <v>142</v>
      </c>
      <c r="C134" s="8" t="s">
        <v>7</v>
      </c>
      <c r="D134" s="9" t="e">
        <f>VLOOKUP(B134,'Nutrition Plan'!$D$99:$F$109,3,0)</f>
        <v>#N/A</v>
      </c>
      <c r="E134" s="10" t="e">
        <f>D134/(100/0.25)</f>
        <v>#N/A</v>
      </c>
      <c r="F134" s="11" t="e">
        <f>D134/(100/0.12)</f>
        <v>#N/A</v>
      </c>
      <c r="G134" s="10" t="e">
        <f>D134/(100/13.68)</f>
        <v>#N/A</v>
      </c>
      <c r="H134" s="12" t="e">
        <f t="shared" si="42"/>
        <v>#N/A</v>
      </c>
      <c r="I134" s="1"/>
    </row>
    <row r="135" spans="1:9" ht="15.75" customHeight="1" thickTop="1" thickBot="1" x14ac:dyDescent="0.3">
      <c r="A135" s="1"/>
      <c r="B135" s="8" t="s">
        <v>143</v>
      </c>
      <c r="C135" s="8" t="s">
        <v>7</v>
      </c>
      <c r="D135" s="9" t="e">
        <f>VLOOKUP(B135,'Nutrition Plan'!$D$99:$F$109,3,0)</f>
        <v>#N/A</v>
      </c>
      <c r="E135" s="10" t="e">
        <f>D135/(100/0.44)</f>
        <v>#N/A</v>
      </c>
      <c r="F135" s="11" t="e">
        <f>D135/(100/0.19)</f>
        <v>#N/A</v>
      </c>
      <c r="G135" s="10" t="e">
        <f>D135/(100/13.61)</f>
        <v>#N/A</v>
      </c>
      <c r="H135" s="12" t="e">
        <f t="shared" si="42"/>
        <v>#N/A</v>
      </c>
      <c r="I135" s="1"/>
    </row>
    <row r="136" spans="1:9" ht="15.75" customHeight="1" thickTop="1" thickBot="1" x14ac:dyDescent="0.3">
      <c r="A136" s="1"/>
      <c r="B136" s="8" t="s">
        <v>144</v>
      </c>
      <c r="C136" s="8" t="s">
        <v>7</v>
      </c>
      <c r="D136" s="9" t="e">
        <f>VLOOKUP(B136,'Nutrition Plan'!$D$99:$F$109,3,0)</f>
        <v>#N/A</v>
      </c>
      <c r="E136" s="10">
        <v>0</v>
      </c>
      <c r="F136" s="11">
        <v>0</v>
      </c>
      <c r="G136" s="10" t="e">
        <f>D136/(122/13)</f>
        <v>#N/A</v>
      </c>
      <c r="H136" s="12" t="e">
        <f t="shared" si="42"/>
        <v>#N/A</v>
      </c>
      <c r="I136" s="1"/>
    </row>
    <row r="137" spans="1:9" ht="15.75" customHeight="1" thickTop="1" thickBot="1" x14ac:dyDescent="0.3">
      <c r="A137" s="1"/>
      <c r="B137" s="8" t="s">
        <v>145</v>
      </c>
      <c r="C137" s="8" t="s">
        <v>7</v>
      </c>
      <c r="D137" s="9" t="e">
        <f>VLOOKUP(B137,'Nutrition Plan'!$D$99:$F$109,3,0)</f>
        <v>#N/A</v>
      </c>
      <c r="E137" s="10" t="e">
        <f>D137/(100/2)</f>
        <v>#N/A</v>
      </c>
      <c r="F137" s="11" t="e">
        <f>D137/(100/14.66)</f>
        <v>#N/A</v>
      </c>
      <c r="G137" s="10" t="e">
        <f>D137/(100/8.53)</f>
        <v>#N/A</v>
      </c>
      <c r="H137" s="12" t="e">
        <f t="shared" si="42"/>
        <v>#N/A</v>
      </c>
      <c r="I137" s="1"/>
    </row>
    <row r="138" spans="1:9" ht="15.75" customHeight="1" thickTop="1" thickBot="1" x14ac:dyDescent="0.3">
      <c r="A138" s="1"/>
      <c r="B138" s="8" t="s">
        <v>146</v>
      </c>
      <c r="C138" s="8" t="s">
        <v>7</v>
      </c>
      <c r="D138" s="9" t="e">
        <f>VLOOKUP(B138,'Nutrition Plan'!$D$99:$F$109,3,0)</f>
        <v>#N/A</v>
      </c>
      <c r="E138" s="10" t="e">
        <f>D138/(100/1.1)</f>
        <v>#N/A</v>
      </c>
      <c r="F138" s="11" t="e">
        <f t="shared" ref="F138:F139" si="43">D138/(100/0.33)</f>
        <v>#N/A</v>
      </c>
      <c r="G138" s="10" t="e">
        <f>D138/(100/22.84)</f>
        <v>#N/A</v>
      </c>
      <c r="H138" s="12" t="e">
        <f t="shared" si="42"/>
        <v>#N/A</v>
      </c>
      <c r="I138" s="1"/>
    </row>
    <row r="139" spans="1:9" ht="15.75" customHeight="1" thickTop="1" thickBot="1" x14ac:dyDescent="0.3">
      <c r="A139" s="1"/>
      <c r="B139" s="8" t="s">
        <v>147</v>
      </c>
      <c r="C139" s="8" t="s">
        <v>7</v>
      </c>
      <c r="D139" s="9" t="e">
        <f>VLOOKUP(B139,'Nutrition Plan'!$D$99:$F$109,3,0)</f>
        <v>#N/A</v>
      </c>
      <c r="E139" s="10" t="e">
        <f>D139/(100/0.74)</f>
        <v>#N/A</v>
      </c>
      <c r="F139" s="11" t="e">
        <f t="shared" si="43"/>
        <v>#N/A</v>
      </c>
      <c r="G139" s="10" t="e">
        <f>D139/(100/14.49)</f>
        <v>#N/A</v>
      </c>
      <c r="H139" s="12" t="e">
        <f t="shared" si="42"/>
        <v>#N/A</v>
      </c>
      <c r="I139" s="1"/>
    </row>
    <row r="140" spans="1:9" ht="15.75" customHeight="1" thickTop="1" thickBot="1" x14ac:dyDescent="0.3">
      <c r="A140" s="1"/>
      <c r="B140" s="8" t="s">
        <v>148</v>
      </c>
      <c r="C140" s="8" t="s">
        <v>7</v>
      </c>
      <c r="D140" s="9" t="e">
        <f>VLOOKUP(B140,'Nutrition Plan'!$D$99:$F$109,3,0)</f>
        <v>#N/A</v>
      </c>
      <c r="E140" s="10" t="e">
        <f>D140/(28/0.18)</f>
        <v>#N/A</v>
      </c>
      <c r="F140" s="11" t="e">
        <f>D140/(28/0.03)</f>
        <v>#N/A</v>
      </c>
      <c r="G140" s="10" t="e">
        <f>D140/(28/2.26)</f>
        <v>#N/A</v>
      </c>
      <c r="H140" s="12" t="e">
        <f t="shared" si="42"/>
        <v>#N/A</v>
      </c>
      <c r="I140" s="1"/>
    </row>
    <row r="141" spans="1:9" ht="15.75" customHeight="1" thickTop="1" thickBot="1" x14ac:dyDescent="0.3">
      <c r="A141" s="1"/>
      <c r="B141" s="8" t="s">
        <v>149</v>
      </c>
      <c r="C141" s="8" t="s">
        <v>7</v>
      </c>
      <c r="D141" s="9" t="e">
        <f>VLOOKUP(B141,'Nutrition Plan'!$D$99:$F$109,3,0)</f>
        <v>#N/A</v>
      </c>
      <c r="E141" s="10" t="e">
        <f>D141/(100/0.72)</f>
        <v>#N/A</v>
      </c>
      <c r="F141" s="11" t="e">
        <f>D141/(100/0.16)</f>
        <v>#N/A</v>
      </c>
      <c r="G141" s="10" t="e">
        <f>D141/(100/18.1)</f>
        <v>#N/A</v>
      </c>
      <c r="H141" s="12" t="e">
        <f t="shared" si="42"/>
        <v>#N/A</v>
      </c>
      <c r="I141" s="1"/>
    </row>
    <row r="142" spans="1:9" ht="15.75" customHeight="1" thickTop="1" thickBot="1" x14ac:dyDescent="0.3">
      <c r="A142" s="1"/>
      <c r="B142" s="8" t="s">
        <v>150</v>
      </c>
      <c r="C142" s="8" t="s">
        <v>7</v>
      </c>
      <c r="D142" s="9" t="e">
        <f>VLOOKUP(B142,'Nutrition Plan'!$D$99:$F$109,3,0)</f>
        <v>#N/A</v>
      </c>
      <c r="E142" s="10" t="e">
        <f>D142/(28/0.32)</f>
        <v>#N/A</v>
      </c>
      <c r="F142" s="11" t="e">
        <f>D142/(28/0.15)</f>
        <v>#N/A</v>
      </c>
      <c r="G142" s="10" t="e">
        <f>D142/(28/4.1)</f>
        <v>#N/A</v>
      </c>
      <c r="H142" s="12" t="e">
        <f t="shared" si="42"/>
        <v>#N/A</v>
      </c>
      <c r="I142" s="1"/>
    </row>
    <row r="143" spans="1:9" ht="15.75" customHeight="1" thickTop="1" thickBot="1" x14ac:dyDescent="0.3">
      <c r="A143" s="1"/>
      <c r="B143" s="8" t="s">
        <v>151</v>
      </c>
      <c r="C143" s="8" t="s">
        <v>7</v>
      </c>
      <c r="D143" s="9" t="e">
        <f>VLOOKUP(B143,'Nutrition Plan'!$D$99:$F$109,3,0)</f>
        <v>#N/A</v>
      </c>
      <c r="E143" s="10" t="e">
        <f>D143/(28/0.23)</f>
        <v>#N/A</v>
      </c>
      <c r="F143" s="11" t="e">
        <f>D143/(28/0.11)</f>
        <v>#N/A</v>
      </c>
      <c r="G143" s="10" t="e">
        <f>D143/(28/4.2)</f>
        <v>#N/A</v>
      </c>
      <c r="H143" s="12" t="e">
        <f t="shared" si="42"/>
        <v>#N/A</v>
      </c>
      <c r="I143" s="1"/>
    </row>
    <row r="144" spans="1:9" ht="15.75" customHeight="1" thickTop="1" thickBot="1" x14ac:dyDescent="0.3">
      <c r="A144" s="1"/>
      <c r="B144" s="8" t="s">
        <v>152</v>
      </c>
      <c r="C144" s="8" t="s">
        <v>7</v>
      </c>
      <c r="D144" s="9" t="e">
        <f>VLOOKUP(B144,'Nutrition Plan'!$D$99:$F$109,3,0)</f>
        <v>#N/A</v>
      </c>
      <c r="E144" s="10" t="e">
        <f>D144/(28/0.3)</f>
        <v>#N/A</v>
      </c>
      <c r="F144" s="11" t="e">
        <f>D144/(28/0.09)</f>
        <v>#N/A</v>
      </c>
      <c r="G144" s="10" t="e">
        <f>D144/(28/3)</f>
        <v>#N/A</v>
      </c>
      <c r="H144" s="12" t="e">
        <f t="shared" si="42"/>
        <v>#N/A</v>
      </c>
      <c r="I144" s="1"/>
    </row>
    <row r="145" spans="1:9" ht="15.75" customHeight="1" thickTop="1" thickBot="1" x14ac:dyDescent="0.3">
      <c r="A145" s="1"/>
      <c r="B145" s="8" t="s">
        <v>153</v>
      </c>
      <c r="C145" s="8" t="s">
        <v>7</v>
      </c>
      <c r="D145" s="9" t="e">
        <f>VLOOKUP(B145,'Nutrition Plan'!$D$99:$F$109,3,0)</f>
        <v>#N/A</v>
      </c>
      <c r="E145" s="10" t="e">
        <f>D145/(28/0.26)</f>
        <v>#N/A</v>
      </c>
      <c r="F145" s="11" t="e">
        <f>D145/(28/0.03)</f>
        <v>#N/A</v>
      </c>
      <c r="G145" s="10" t="e">
        <f>D145/(28/3.3)</f>
        <v>#N/A</v>
      </c>
      <c r="H145" s="12" t="e">
        <f t="shared" si="42"/>
        <v>#N/A</v>
      </c>
      <c r="I145" s="1"/>
    </row>
    <row r="146" spans="1:9" ht="15.75" customHeight="1" thickTop="1" thickBot="1" x14ac:dyDescent="0.3">
      <c r="A146" s="1"/>
      <c r="B146" s="8" t="s">
        <v>154</v>
      </c>
      <c r="C146" s="8" t="s">
        <v>7</v>
      </c>
      <c r="D146" s="9" t="e">
        <f>VLOOKUP(B146,'Nutrition Plan'!$D$99:$F$109,3,0)</f>
        <v>#N/A</v>
      </c>
      <c r="E146" s="10" t="e">
        <f>D146/(28/0.25)</f>
        <v>#N/A</v>
      </c>
      <c r="F146" s="11" t="e">
        <f>D146/(28/0.07)</f>
        <v>#N/A</v>
      </c>
      <c r="G146" s="10" t="e">
        <f>D146/(28/2.67)</f>
        <v>#N/A</v>
      </c>
      <c r="H146" s="12" t="e">
        <f t="shared" si="42"/>
        <v>#N/A</v>
      </c>
      <c r="I146" s="1"/>
    </row>
    <row r="147" spans="1:9" ht="15.75" customHeight="1" thickTop="1" thickBot="1" x14ac:dyDescent="0.3">
      <c r="A147" s="1"/>
      <c r="B147" s="8" t="s">
        <v>155</v>
      </c>
      <c r="C147" s="8" t="s">
        <v>7</v>
      </c>
      <c r="D147" s="9" t="e">
        <f>VLOOKUP(B147,'Nutrition Plan'!$D$99:$F$109,3,0)</f>
        <v>#N/A</v>
      </c>
      <c r="E147" s="10" t="e">
        <f>D147/(28/0.15)</f>
        <v>#N/A</v>
      </c>
      <c r="F147" s="11" t="e">
        <f>D147/(28/0.03)</f>
        <v>#N/A</v>
      </c>
      <c r="G147" s="10" t="e">
        <f>D147/(28/3.67)</f>
        <v>#N/A</v>
      </c>
      <c r="H147" s="12" t="e">
        <f t="shared" si="42"/>
        <v>#N/A</v>
      </c>
      <c r="I147" s="1"/>
    </row>
    <row r="148" spans="1:9" ht="15.75" customHeight="1" thickTop="1" thickBot="1" x14ac:dyDescent="0.3">
      <c r="A148" s="1"/>
      <c r="B148" s="8" t="s">
        <v>156</v>
      </c>
      <c r="C148" s="8" t="s">
        <v>7</v>
      </c>
      <c r="D148" s="9" t="e">
        <f>VLOOKUP(B148,'Nutrition Plan'!$D$99:$F$109,3,0)</f>
        <v>#N/A</v>
      </c>
      <c r="E148" s="10" t="e">
        <f>D148/(28/0.2)</f>
        <v>#N/A</v>
      </c>
      <c r="F148" s="11" t="e">
        <f>D148/(28/0.08)</f>
        <v>#N/A</v>
      </c>
      <c r="G148" s="10" t="e">
        <f>D148/(28/3.2)</f>
        <v>#N/A</v>
      </c>
      <c r="H148" s="12" t="e">
        <f t="shared" si="42"/>
        <v>#N/A</v>
      </c>
      <c r="I148" s="1"/>
    </row>
    <row r="149" spans="1:9" ht="15.75" customHeight="1" thickTop="1" thickBot="1" x14ac:dyDescent="0.3">
      <c r="A149" s="1"/>
      <c r="B149" s="8" t="s">
        <v>157</v>
      </c>
      <c r="C149" s="8" t="s">
        <v>7</v>
      </c>
      <c r="D149" s="9" t="e">
        <f>VLOOKUP(B149,'Nutrition Plan'!$D$99:$F$109,3,0)</f>
        <v>#N/A</v>
      </c>
      <c r="E149" s="10" t="e">
        <f>D149/(100/1.2)</f>
        <v>#N/A</v>
      </c>
      <c r="F149" s="11" t="e">
        <f>D149/(100/0.65)</f>
        <v>#N/A</v>
      </c>
      <c r="G149" s="10" t="e">
        <f>D149/(100/11.4)</f>
        <v>#N/A</v>
      </c>
      <c r="H149" s="12" t="e">
        <f t="shared" si="42"/>
        <v>#N/A</v>
      </c>
      <c r="I149" s="1"/>
    </row>
    <row r="150" spans="1:9" ht="15.75" customHeight="1" thickTop="1" thickBot="1" x14ac:dyDescent="0.3">
      <c r="A150" s="1"/>
      <c r="B150" s="8" t="s">
        <v>158</v>
      </c>
      <c r="C150" s="8" t="s">
        <v>7</v>
      </c>
      <c r="D150" s="9" t="e">
        <f>VLOOKUP(B150,'Nutrition Plan'!$D$99:$F$109,3,0)</f>
        <v>#N/A</v>
      </c>
      <c r="E150" s="10" t="e">
        <f>D150/(28/0.19)</f>
        <v>#N/A</v>
      </c>
      <c r="F150" s="11" t="e">
        <f>D150/(28/0.08)</f>
        <v>#N/A</v>
      </c>
      <c r="G150" s="10" t="e">
        <f>D150/(28/2.15)</f>
        <v>#N/A</v>
      </c>
      <c r="H150" s="12" t="e">
        <f t="shared" si="42"/>
        <v>#N/A</v>
      </c>
      <c r="I150" s="1"/>
    </row>
    <row r="151" spans="1:9" ht="15.75" customHeight="1" thickTop="1" thickBot="1" x14ac:dyDescent="0.3">
      <c r="A151" s="1"/>
      <c r="B151" s="8" t="s">
        <v>159</v>
      </c>
      <c r="C151" s="8" t="s">
        <v>7</v>
      </c>
      <c r="D151" s="9" t="e">
        <f>VLOOKUP(B151,'Nutrition Plan'!$D$99:$F$109,3,0)</f>
        <v>#N/A</v>
      </c>
      <c r="E151" s="10" t="e">
        <f>D151/(100/0.61)</f>
        <v>#N/A</v>
      </c>
      <c r="F151" s="11" t="e">
        <f>D151/(100/0.15)</f>
        <v>#N/A</v>
      </c>
      <c r="G151" s="10" t="e">
        <f>D151/(100/7.55)</f>
        <v>#N/A</v>
      </c>
      <c r="H151" s="12" t="e">
        <f t="shared" si="42"/>
        <v>#N/A</v>
      </c>
      <c r="I151" s="1"/>
    </row>
    <row r="152" spans="1:9" ht="15.75" customHeight="1" thickTop="1" thickBot="1" x14ac:dyDescent="0.3">
      <c r="A152" s="1"/>
      <c r="B152" s="8" t="s">
        <v>160</v>
      </c>
      <c r="C152" s="8" t="s">
        <v>7</v>
      </c>
      <c r="D152" s="9" t="e">
        <f>VLOOKUP(B152,'Nutrition Plan'!$D$99:$F$109,3,0)</f>
        <v>#N/A</v>
      </c>
      <c r="E152" s="10" t="e">
        <f>D152/(28/4)</f>
        <v>#N/A</v>
      </c>
      <c r="F152" s="11" t="e">
        <f>D152/(28/2.2)</f>
        <v>#N/A</v>
      </c>
      <c r="G152" s="10" t="e">
        <f>D152/(28/1)</f>
        <v>#N/A</v>
      </c>
      <c r="H152" s="12" t="e">
        <f t="shared" si="42"/>
        <v>#N/A</v>
      </c>
      <c r="I152" s="1"/>
    </row>
    <row r="153" spans="1:9" ht="15.75" customHeight="1" thickTop="1" thickBot="1" x14ac:dyDescent="0.3">
      <c r="A153" s="1"/>
      <c r="B153" s="8" t="s">
        <v>161</v>
      </c>
      <c r="C153" s="8" t="s">
        <v>7</v>
      </c>
      <c r="D153" s="9" t="e">
        <f>VLOOKUP(B153,'Nutrition Plan'!$D$99:$F$109,3,0)</f>
        <v>#N/A</v>
      </c>
      <c r="E153" s="10" t="e">
        <f>D153/(28/0.67)</f>
        <v>#N/A</v>
      </c>
      <c r="F153" s="11" t="e">
        <f>D153/(28/0.06)</f>
        <v>#N/A</v>
      </c>
      <c r="G153" s="10" t="e">
        <f>D153/(28/1.15)</f>
        <v>#N/A</v>
      </c>
      <c r="H153" s="12" t="e">
        <f t="shared" si="42"/>
        <v>#N/A</v>
      </c>
      <c r="I153" s="1"/>
    </row>
    <row r="154" spans="1:9" ht="15.75" customHeight="1" thickTop="1" thickBot="1" x14ac:dyDescent="0.3">
      <c r="A154" s="1"/>
      <c r="B154" s="8" t="s">
        <v>162</v>
      </c>
      <c r="C154" s="8" t="s">
        <v>7</v>
      </c>
      <c r="D154" s="9" t="e">
        <f>VLOOKUP(B154,'Nutrition Plan'!$D$99:$F$109,3,0)</f>
        <v>#N/A</v>
      </c>
      <c r="E154" s="10" t="e">
        <f>D154/(28/0.87)</f>
        <v>#N/A</v>
      </c>
      <c r="F154" s="11" t="e">
        <f t="shared" ref="F154:F155" si="44">D154/(28/0.03)</f>
        <v>#N/A</v>
      </c>
      <c r="G154" s="10" t="e">
        <f>D154/(28/1.5)</f>
        <v>#N/A</v>
      </c>
      <c r="H154" s="12" t="e">
        <f t="shared" si="42"/>
        <v>#N/A</v>
      </c>
      <c r="I154" s="1"/>
    </row>
    <row r="155" spans="1:9" ht="15.75" customHeight="1" thickTop="1" thickBot="1" x14ac:dyDescent="0.3">
      <c r="A155" s="1"/>
      <c r="B155" s="8" t="s">
        <v>163</v>
      </c>
      <c r="C155" s="8" t="s">
        <v>7</v>
      </c>
      <c r="D155" s="9" t="e">
        <f>VLOOKUP(B155,'Nutrition Plan'!$D$99:$F$109,3,0)</f>
        <v>#N/A</v>
      </c>
      <c r="E155" s="10" t="e">
        <f>D155/(28/0.36)</f>
        <v>#N/A</v>
      </c>
      <c r="F155" s="11" t="e">
        <f t="shared" si="44"/>
        <v>#N/A</v>
      </c>
      <c r="G155" s="10" t="e">
        <f>D155/(28/1.62)</f>
        <v>#N/A</v>
      </c>
      <c r="H155" s="12" t="e">
        <f t="shared" si="42"/>
        <v>#N/A</v>
      </c>
      <c r="I155" s="1"/>
    </row>
    <row r="156" spans="1:9" ht="15.75" customHeight="1" thickTop="1" thickBot="1" x14ac:dyDescent="0.3">
      <c r="A156" s="1"/>
      <c r="B156" s="8" t="s">
        <v>164</v>
      </c>
      <c r="C156" s="8" t="s">
        <v>7</v>
      </c>
      <c r="D156" s="9" t="e">
        <f>VLOOKUP(B156,'Nutrition Plan'!$D$99:$F$109,3,0)</f>
        <v>#N/A</v>
      </c>
      <c r="E156" s="10" t="e">
        <f>D156/(28/0.54)</f>
        <v>#N/A</v>
      </c>
      <c r="F156" s="11" t="e">
        <f t="shared" ref="F156:F157" si="45">D156/(28/0.08)</f>
        <v>#N/A</v>
      </c>
      <c r="G156" s="10" t="e">
        <f>D156/(28/1.4)</f>
        <v>#N/A</v>
      </c>
      <c r="H156" s="12" t="e">
        <f t="shared" si="42"/>
        <v>#N/A</v>
      </c>
      <c r="I156" s="1"/>
    </row>
    <row r="157" spans="1:9" ht="15.75" customHeight="1" thickTop="1" thickBot="1" x14ac:dyDescent="0.3">
      <c r="A157" s="1"/>
      <c r="B157" s="8" t="s">
        <v>165</v>
      </c>
      <c r="C157" s="8" t="s">
        <v>7</v>
      </c>
      <c r="D157" s="9" t="e">
        <f>VLOOKUP(B157,'Nutrition Plan'!$D$99:$F$109,3,0)</f>
        <v>#N/A</v>
      </c>
      <c r="E157" s="10" t="e">
        <f>D157/(28/0.34)</f>
        <v>#N/A</v>
      </c>
      <c r="F157" s="11" t="e">
        <f t="shared" si="45"/>
        <v>#N/A</v>
      </c>
      <c r="G157" s="10" t="e">
        <f>D157/(28/0.92)</f>
        <v>#N/A</v>
      </c>
      <c r="H157" s="12" t="e">
        <f t="shared" si="42"/>
        <v>#N/A</v>
      </c>
      <c r="I157" s="1"/>
    </row>
    <row r="158" spans="1:9" ht="15.75" customHeight="1" thickTop="1" thickBot="1" x14ac:dyDescent="0.3">
      <c r="A158" s="1"/>
      <c r="B158" s="8" t="s">
        <v>166</v>
      </c>
      <c r="C158" s="8" t="s">
        <v>7</v>
      </c>
      <c r="D158" s="9" t="e">
        <f>VLOOKUP(B158,'Nutrition Plan'!$D$99:$F$109,3,0)</f>
        <v>#N/A</v>
      </c>
      <c r="E158" s="10" t="e">
        <f>D158/(28/1.12)</f>
        <v>#N/A</v>
      </c>
      <c r="F158" s="11" t="e">
        <f>D158/(28/0.24)</f>
        <v>#N/A</v>
      </c>
      <c r="G158" s="10" t="e">
        <f>D158/(28/1.34)</f>
        <v>#N/A</v>
      </c>
      <c r="H158" s="12" t="e">
        <f t="shared" si="42"/>
        <v>#N/A</v>
      </c>
      <c r="I158" s="1"/>
    </row>
    <row r="159" spans="1:9" ht="15.75" customHeight="1" thickTop="1" thickBot="1" x14ac:dyDescent="0.3">
      <c r="A159" s="1"/>
      <c r="B159" s="8" t="s">
        <v>167</v>
      </c>
      <c r="C159" s="8" t="s">
        <v>7</v>
      </c>
      <c r="D159" s="9" t="e">
        <f>VLOOKUP(B159,'Nutrition Plan'!$D$99:$F$109,3,0)</f>
        <v>#N/A</v>
      </c>
      <c r="E159" s="10" t="e">
        <f>D159/(28/0.34)</f>
        <v>#N/A</v>
      </c>
      <c r="F159" s="11" t="e">
        <f>D159/(28/0.09)</f>
        <v>#N/A</v>
      </c>
      <c r="G159" s="10" t="e">
        <f>D159/(28/0.87)</f>
        <v>#N/A</v>
      </c>
      <c r="H159" s="12" t="e">
        <f t="shared" si="42"/>
        <v>#N/A</v>
      </c>
      <c r="I159" s="1"/>
    </row>
    <row r="160" spans="1:9" ht="15.75" customHeight="1" thickTop="1" x14ac:dyDescent="0.25">
      <c r="A160" s="1"/>
      <c r="B160" s="1"/>
      <c r="C160" s="1"/>
      <c r="D160" s="1"/>
      <c r="E160" s="1"/>
      <c r="F160" s="1"/>
      <c r="G160" s="1"/>
      <c r="H160" s="1"/>
      <c r="I160" s="1"/>
    </row>
    <row r="161" spans="1:1" ht="15.75" customHeight="1" x14ac:dyDescent="0.25">
      <c r="A161" s="7"/>
    </row>
    <row r="162" spans="1:1" ht="15.75" customHeight="1" x14ac:dyDescent="0.25">
      <c r="A162" s="7"/>
    </row>
    <row r="163" spans="1:1" ht="15.75" customHeight="1" x14ac:dyDescent="0.25">
      <c r="A163" s="7"/>
    </row>
    <row r="164" spans="1:1" ht="15.75" customHeight="1" x14ac:dyDescent="0.25">
      <c r="A164" s="7"/>
    </row>
    <row r="165" spans="1:1" ht="15.75" customHeight="1" x14ac:dyDescent="0.25">
      <c r="A165" s="7"/>
    </row>
    <row r="166" spans="1:1" ht="15.75" customHeight="1" x14ac:dyDescent="0.25">
      <c r="A166" s="7"/>
    </row>
    <row r="167" spans="1:1" ht="15.75" customHeight="1" x14ac:dyDescent="0.25">
      <c r="A167" s="7"/>
    </row>
    <row r="168" spans="1:1" ht="15.75" customHeight="1" x14ac:dyDescent="0.25">
      <c r="A168" s="7"/>
    </row>
    <row r="169" spans="1:1" ht="15.75" customHeight="1" x14ac:dyDescent="0.25">
      <c r="A169" s="7"/>
    </row>
    <row r="170" spans="1:1" ht="15.75" customHeight="1" x14ac:dyDescent="0.25">
      <c r="A170" s="7"/>
    </row>
    <row r="171" spans="1:1" ht="15.75" customHeight="1" x14ac:dyDescent="0.25">
      <c r="A171" s="7"/>
    </row>
    <row r="172" spans="1:1" ht="15.75" customHeight="1" x14ac:dyDescent="0.25">
      <c r="A172" s="7"/>
    </row>
    <row r="173" spans="1:1" ht="15.75" customHeight="1" x14ac:dyDescent="0.25">
      <c r="A173" s="7"/>
    </row>
    <row r="174" spans="1:1" ht="15.75" customHeight="1" x14ac:dyDescent="0.25">
      <c r="A174" s="7"/>
    </row>
    <row r="175" spans="1:1" ht="15.75" customHeight="1" x14ac:dyDescent="0.25">
      <c r="A175" s="7"/>
    </row>
    <row r="176" spans="1:1" ht="15.75" customHeight="1" x14ac:dyDescent="0.25">
      <c r="A176" s="7"/>
    </row>
    <row r="177" spans="1:1" ht="15.75" customHeight="1" x14ac:dyDescent="0.25">
      <c r="A177" s="7"/>
    </row>
    <row r="178" spans="1:1" ht="15.75" customHeight="1" x14ac:dyDescent="0.25">
      <c r="A178" s="7"/>
    </row>
    <row r="179" spans="1:1" ht="15.75" customHeight="1" x14ac:dyDescent="0.25">
      <c r="A179" s="7"/>
    </row>
    <row r="180" spans="1:1" ht="15.75" customHeight="1" x14ac:dyDescent="0.25">
      <c r="A180" s="7"/>
    </row>
    <row r="181" spans="1:1" ht="15.75" customHeight="1" x14ac:dyDescent="0.25">
      <c r="A181" s="7"/>
    </row>
    <row r="182" spans="1:1" ht="15.75" customHeight="1" x14ac:dyDescent="0.25">
      <c r="A182" s="7"/>
    </row>
    <row r="183" spans="1:1" ht="15.75" customHeight="1" x14ac:dyDescent="0.25">
      <c r="A183" s="7"/>
    </row>
    <row r="184" spans="1:1" ht="15.75" customHeight="1" x14ac:dyDescent="0.25">
      <c r="A184" s="7"/>
    </row>
    <row r="185" spans="1:1" ht="15.75" customHeight="1" x14ac:dyDescent="0.25">
      <c r="A185" s="7"/>
    </row>
    <row r="186" spans="1:1" ht="15.75" customHeight="1" x14ac:dyDescent="0.25">
      <c r="A186" s="7"/>
    </row>
    <row r="187" spans="1:1" ht="15.75" customHeight="1" x14ac:dyDescent="0.25">
      <c r="A187" s="7"/>
    </row>
    <row r="188" spans="1:1" ht="15.75" customHeight="1" x14ac:dyDescent="0.25">
      <c r="A188" s="7"/>
    </row>
    <row r="189" spans="1:1" ht="15.75" customHeight="1" x14ac:dyDescent="0.25">
      <c r="A189" s="7"/>
    </row>
    <row r="190" spans="1:1" ht="15.75" customHeight="1" x14ac:dyDescent="0.25">
      <c r="A190" s="7"/>
    </row>
    <row r="191" spans="1:1" ht="15.75" customHeight="1" x14ac:dyDescent="0.25">
      <c r="A191" s="7"/>
    </row>
    <row r="192" spans="1:1" ht="15.75" customHeight="1" x14ac:dyDescent="0.25">
      <c r="A192" s="7"/>
    </row>
    <row r="193" spans="1:1" ht="15.75" customHeight="1" x14ac:dyDescent="0.25">
      <c r="A193" s="7"/>
    </row>
    <row r="194" spans="1:1" ht="15.75" customHeight="1" x14ac:dyDescent="0.25">
      <c r="A194" s="7"/>
    </row>
    <row r="195" spans="1:1" ht="15.75" customHeight="1" x14ac:dyDescent="0.25">
      <c r="A195" s="7"/>
    </row>
    <row r="196" spans="1:1" ht="15.75" customHeight="1" x14ac:dyDescent="0.25">
      <c r="A196" s="7"/>
    </row>
    <row r="197" spans="1:1" ht="15.75" customHeight="1" x14ac:dyDescent="0.25">
      <c r="A197" s="7"/>
    </row>
    <row r="198" spans="1:1" ht="15.75" customHeight="1" x14ac:dyDescent="0.25">
      <c r="A198" s="7"/>
    </row>
    <row r="199" spans="1:1" ht="15.75" customHeight="1" x14ac:dyDescent="0.25">
      <c r="A199" s="7"/>
    </row>
    <row r="200" spans="1:1" ht="15.75" customHeight="1" x14ac:dyDescent="0.25">
      <c r="A200" s="7"/>
    </row>
    <row r="201" spans="1:1" ht="15.75" customHeight="1" x14ac:dyDescent="0.25">
      <c r="A201" s="7"/>
    </row>
    <row r="202" spans="1:1" ht="15.75" customHeight="1" x14ac:dyDescent="0.25">
      <c r="A202" s="7"/>
    </row>
    <row r="203" spans="1:1" ht="15.75" customHeight="1" x14ac:dyDescent="0.25">
      <c r="A203" s="7"/>
    </row>
    <row r="204" spans="1:1" ht="15.75" customHeight="1" x14ac:dyDescent="0.25">
      <c r="A204" s="7"/>
    </row>
    <row r="205" spans="1:1" ht="15.75" customHeight="1" x14ac:dyDescent="0.25">
      <c r="A205" s="7"/>
    </row>
    <row r="206" spans="1:1" ht="15.75" customHeight="1" x14ac:dyDescent="0.25">
      <c r="A206" s="7"/>
    </row>
    <row r="207" spans="1:1" ht="15.75" customHeight="1" x14ac:dyDescent="0.25">
      <c r="A207" s="7"/>
    </row>
    <row r="208" spans="1:1" ht="15.75" customHeight="1" x14ac:dyDescent="0.25">
      <c r="A208" s="7"/>
    </row>
    <row r="209" spans="1:1" ht="15.75" customHeight="1" x14ac:dyDescent="0.25">
      <c r="A209" s="7"/>
    </row>
    <row r="210" spans="1:1" ht="15.75" customHeight="1" x14ac:dyDescent="0.25">
      <c r="A210" s="7"/>
    </row>
    <row r="211" spans="1:1" ht="15.75" customHeight="1" x14ac:dyDescent="0.25">
      <c r="A211" s="7"/>
    </row>
    <row r="212" spans="1:1" ht="15.75" customHeight="1" x14ac:dyDescent="0.25">
      <c r="A212" s="7"/>
    </row>
    <row r="213" spans="1:1" ht="15.75" customHeight="1" x14ac:dyDescent="0.25">
      <c r="A213" s="7"/>
    </row>
    <row r="214" spans="1:1" ht="15.75" customHeight="1" x14ac:dyDescent="0.25">
      <c r="A214" s="7"/>
    </row>
    <row r="215" spans="1:1" ht="15.75" customHeight="1" x14ac:dyDescent="0.25">
      <c r="A215" s="7"/>
    </row>
    <row r="216" spans="1:1" ht="15.75" customHeight="1" x14ac:dyDescent="0.25">
      <c r="A216" s="7"/>
    </row>
    <row r="217" spans="1:1" ht="15.75" customHeight="1" x14ac:dyDescent="0.25">
      <c r="A217" s="7"/>
    </row>
    <row r="218" spans="1:1" ht="15.75" customHeight="1" x14ac:dyDescent="0.25">
      <c r="A218" s="7"/>
    </row>
    <row r="219" spans="1:1" ht="15.75" customHeight="1" x14ac:dyDescent="0.25">
      <c r="A219" s="7"/>
    </row>
    <row r="220" spans="1:1" ht="15.75" customHeight="1" x14ac:dyDescent="0.25">
      <c r="A220" s="7"/>
    </row>
    <row r="221" spans="1:1" ht="15.75" customHeight="1" x14ac:dyDescent="0.25">
      <c r="A221" s="7"/>
    </row>
    <row r="222" spans="1:1" ht="15.75" customHeight="1" x14ac:dyDescent="0.25">
      <c r="A222" s="7"/>
    </row>
    <row r="223" spans="1:1" ht="15.75" customHeight="1" x14ac:dyDescent="0.25">
      <c r="A223" s="7"/>
    </row>
    <row r="224" spans="1:1" ht="15.75" customHeight="1" x14ac:dyDescent="0.25">
      <c r="A224" s="7"/>
    </row>
    <row r="225" spans="1:1" ht="15.75" customHeight="1" x14ac:dyDescent="0.25">
      <c r="A225" s="7"/>
    </row>
    <row r="226" spans="1:1" ht="15.75" customHeight="1" x14ac:dyDescent="0.25">
      <c r="A226" s="7"/>
    </row>
    <row r="227" spans="1:1" ht="15.75" customHeight="1" x14ac:dyDescent="0.25">
      <c r="A227" s="7"/>
    </row>
    <row r="228" spans="1:1" ht="15.75" customHeight="1" x14ac:dyDescent="0.25">
      <c r="A228" s="7"/>
    </row>
    <row r="229" spans="1:1" ht="15.75" customHeight="1" x14ac:dyDescent="0.25">
      <c r="A229" s="7"/>
    </row>
    <row r="230" spans="1:1" ht="15.75" customHeight="1" x14ac:dyDescent="0.25">
      <c r="A230" s="7"/>
    </row>
    <row r="231" spans="1:1" ht="15.75" customHeight="1" x14ac:dyDescent="0.25">
      <c r="A231" s="7"/>
    </row>
    <row r="232" spans="1:1" ht="15.75" customHeight="1" x14ac:dyDescent="0.25">
      <c r="A232" s="7"/>
    </row>
    <row r="233" spans="1:1" ht="15.75" customHeight="1" x14ac:dyDescent="0.25">
      <c r="A233" s="7"/>
    </row>
    <row r="234" spans="1:1" ht="15.75" customHeight="1" x14ac:dyDescent="0.25">
      <c r="A234" s="7"/>
    </row>
    <row r="235" spans="1:1" ht="15.75" customHeight="1" x14ac:dyDescent="0.25">
      <c r="A235" s="7"/>
    </row>
    <row r="236" spans="1:1" ht="15.75" customHeight="1" x14ac:dyDescent="0.25">
      <c r="A236" s="7"/>
    </row>
    <row r="237" spans="1:1" ht="15.75" customHeight="1" x14ac:dyDescent="0.25">
      <c r="A237" s="7"/>
    </row>
    <row r="238" spans="1:1" ht="15.75" customHeight="1" x14ac:dyDescent="0.25">
      <c r="A238" s="7"/>
    </row>
    <row r="239" spans="1:1" ht="15.75" customHeight="1" x14ac:dyDescent="0.25">
      <c r="A239" s="7"/>
    </row>
    <row r="240" spans="1:1" ht="15.75" customHeight="1" x14ac:dyDescent="0.25">
      <c r="A240" s="7"/>
    </row>
    <row r="241" spans="1:1" ht="15.75" customHeight="1" x14ac:dyDescent="0.25">
      <c r="A241" s="7"/>
    </row>
    <row r="242" spans="1:1" ht="15.75" customHeight="1" x14ac:dyDescent="0.25">
      <c r="A242" s="7"/>
    </row>
    <row r="243" spans="1:1" ht="15.75" customHeight="1" x14ac:dyDescent="0.25">
      <c r="A243" s="7"/>
    </row>
    <row r="244" spans="1:1" ht="15.75" customHeight="1" x14ac:dyDescent="0.25">
      <c r="A244" s="7"/>
    </row>
    <row r="245" spans="1:1" ht="15.75" customHeight="1" x14ac:dyDescent="0.25">
      <c r="A245" s="7"/>
    </row>
    <row r="246" spans="1:1" ht="15.75" customHeight="1" x14ac:dyDescent="0.25">
      <c r="A246" s="7"/>
    </row>
    <row r="247" spans="1:1" ht="15.75" customHeight="1" x14ac:dyDescent="0.25">
      <c r="A247" s="7"/>
    </row>
    <row r="248" spans="1:1" ht="15.75" customHeight="1" x14ac:dyDescent="0.25">
      <c r="A248" s="7"/>
    </row>
    <row r="249" spans="1:1" ht="15.75" customHeight="1" x14ac:dyDescent="0.25">
      <c r="A249" s="7"/>
    </row>
    <row r="250" spans="1:1" ht="15.75" customHeight="1" x14ac:dyDescent="0.25">
      <c r="A250" s="7"/>
    </row>
    <row r="251" spans="1:1" ht="15.75" customHeight="1" x14ac:dyDescent="0.25">
      <c r="A251" s="7"/>
    </row>
    <row r="252" spans="1:1" ht="15.75" customHeight="1" x14ac:dyDescent="0.25">
      <c r="A252" s="7"/>
    </row>
    <row r="253" spans="1:1" ht="15.75" customHeight="1" x14ac:dyDescent="0.25">
      <c r="A253" s="7"/>
    </row>
    <row r="254" spans="1:1" ht="15.75" customHeight="1" x14ac:dyDescent="0.25">
      <c r="A254" s="7"/>
    </row>
    <row r="255" spans="1:1" ht="15.75" customHeight="1" x14ac:dyDescent="0.25">
      <c r="A255" s="7"/>
    </row>
    <row r="256" spans="1:1" ht="15.75" customHeight="1" x14ac:dyDescent="0.25">
      <c r="A256" s="7"/>
    </row>
    <row r="257" spans="1:1" ht="15.75" customHeight="1" x14ac:dyDescent="0.25">
      <c r="A257" s="7"/>
    </row>
    <row r="258" spans="1:1" ht="15.75" customHeight="1" x14ac:dyDescent="0.25">
      <c r="A258" s="7"/>
    </row>
    <row r="259" spans="1:1" ht="15.75" customHeight="1" x14ac:dyDescent="0.25">
      <c r="A259" s="7"/>
    </row>
    <row r="260" spans="1:1" ht="15.75" customHeight="1" x14ac:dyDescent="0.25">
      <c r="A260" s="7"/>
    </row>
    <row r="261" spans="1:1" ht="15.75" customHeight="1" x14ac:dyDescent="0.25">
      <c r="A261" s="7"/>
    </row>
    <row r="262" spans="1:1" ht="15.75" customHeight="1" x14ac:dyDescent="0.25">
      <c r="A262" s="7"/>
    </row>
    <row r="263" spans="1:1" ht="15.75" customHeight="1" x14ac:dyDescent="0.25">
      <c r="A263" s="7"/>
    </row>
    <row r="264" spans="1:1" ht="15.75" customHeight="1" x14ac:dyDescent="0.25">
      <c r="A264" s="7"/>
    </row>
    <row r="265" spans="1:1" ht="15.75" customHeight="1" x14ac:dyDescent="0.25">
      <c r="A265" s="7"/>
    </row>
    <row r="266" spans="1:1" ht="15.75" customHeight="1" x14ac:dyDescent="0.25">
      <c r="A266" s="7"/>
    </row>
    <row r="267" spans="1:1" ht="15.75" customHeight="1" x14ac:dyDescent="0.25">
      <c r="A267" s="7"/>
    </row>
    <row r="268" spans="1:1" ht="15.75" customHeight="1" x14ac:dyDescent="0.25">
      <c r="A268" s="7"/>
    </row>
    <row r="269" spans="1:1" ht="15.75" customHeight="1" x14ac:dyDescent="0.25">
      <c r="A269" s="7"/>
    </row>
    <row r="270" spans="1:1" ht="15.75" customHeight="1" x14ac:dyDescent="0.25">
      <c r="A270" s="7"/>
    </row>
    <row r="271" spans="1:1" ht="15.75" customHeight="1" x14ac:dyDescent="0.25">
      <c r="A271" s="7"/>
    </row>
    <row r="272" spans="1:1" ht="15.75" customHeight="1" x14ac:dyDescent="0.25">
      <c r="A272" s="7"/>
    </row>
    <row r="273" spans="1:1" ht="15.75" customHeight="1" x14ac:dyDescent="0.25">
      <c r="A273" s="7"/>
    </row>
    <row r="274" spans="1:1" ht="15.75" customHeight="1" x14ac:dyDescent="0.25">
      <c r="A274" s="7"/>
    </row>
    <row r="275" spans="1:1" ht="15.75" customHeight="1" x14ac:dyDescent="0.25">
      <c r="A275" s="7"/>
    </row>
    <row r="276" spans="1:1" ht="15.75" customHeight="1" x14ac:dyDescent="0.25">
      <c r="A276" s="7"/>
    </row>
    <row r="277" spans="1:1" ht="15.75" customHeight="1" x14ac:dyDescent="0.25">
      <c r="A277" s="7"/>
    </row>
    <row r="278" spans="1:1" ht="15.75" customHeight="1" x14ac:dyDescent="0.25">
      <c r="A278" s="7"/>
    </row>
    <row r="279" spans="1:1" ht="15.75" customHeight="1" x14ac:dyDescent="0.25">
      <c r="A279" s="7"/>
    </row>
    <row r="280" spans="1:1" ht="15.75" customHeight="1" x14ac:dyDescent="0.25">
      <c r="A280" s="7"/>
    </row>
    <row r="281" spans="1:1" ht="15.75" customHeight="1" x14ac:dyDescent="0.25">
      <c r="A281" s="7"/>
    </row>
    <row r="282" spans="1:1" ht="15.75" customHeight="1" x14ac:dyDescent="0.25">
      <c r="A282" s="7"/>
    </row>
    <row r="283" spans="1:1" ht="15.75" customHeight="1" x14ac:dyDescent="0.25">
      <c r="A283" s="7"/>
    </row>
    <row r="284" spans="1:1" ht="15.75" customHeight="1" x14ac:dyDescent="0.25">
      <c r="A284" s="7"/>
    </row>
    <row r="285" spans="1:1" ht="15.75" customHeight="1" x14ac:dyDescent="0.25">
      <c r="A285" s="7"/>
    </row>
    <row r="286" spans="1:1" ht="15.75" customHeight="1" x14ac:dyDescent="0.25">
      <c r="A286" s="7"/>
    </row>
    <row r="287" spans="1:1" ht="15.75" customHeight="1" x14ac:dyDescent="0.25">
      <c r="A287" s="7"/>
    </row>
    <row r="288" spans="1:1" ht="15.75" customHeight="1" x14ac:dyDescent="0.25">
      <c r="A288" s="7"/>
    </row>
    <row r="289" spans="1:1" ht="15.75" customHeight="1" x14ac:dyDescent="0.25">
      <c r="A289" s="7"/>
    </row>
    <row r="290" spans="1:1" ht="15.75" customHeight="1" x14ac:dyDescent="0.25">
      <c r="A290" s="7"/>
    </row>
    <row r="291" spans="1:1" ht="15.75" customHeight="1" x14ac:dyDescent="0.25">
      <c r="A291" s="7"/>
    </row>
    <row r="292" spans="1:1" ht="15.75" customHeight="1" x14ac:dyDescent="0.25">
      <c r="A292" s="7"/>
    </row>
    <row r="293" spans="1:1" ht="15.75" customHeight="1" x14ac:dyDescent="0.25">
      <c r="A293" s="7"/>
    </row>
    <row r="294" spans="1:1" ht="15.75" customHeight="1" x14ac:dyDescent="0.25">
      <c r="A294" s="7"/>
    </row>
    <row r="295" spans="1:1" ht="15.75" customHeight="1" x14ac:dyDescent="0.25">
      <c r="A295" s="7"/>
    </row>
    <row r="296" spans="1:1" ht="15.75" customHeight="1" x14ac:dyDescent="0.25">
      <c r="A296" s="7"/>
    </row>
    <row r="297" spans="1:1" ht="15.75" customHeight="1" x14ac:dyDescent="0.25">
      <c r="A297" s="7"/>
    </row>
    <row r="298" spans="1:1" ht="15.75" customHeight="1" x14ac:dyDescent="0.25">
      <c r="A298" s="7"/>
    </row>
    <row r="299" spans="1:1" ht="15.75" customHeight="1" x14ac:dyDescent="0.25">
      <c r="A299" s="7"/>
    </row>
    <row r="300" spans="1:1" ht="15.75" customHeight="1" x14ac:dyDescent="0.25">
      <c r="A300" s="7"/>
    </row>
    <row r="301" spans="1:1" ht="15.75" customHeight="1" x14ac:dyDescent="0.25">
      <c r="A301" s="7"/>
    </row>
    <row r="302" spans="1:1" ht="15.75" customHeight="1" x14ac:dyDescent="0.25">
      <c r="A302" s="7"/>
    </row>
    <row r="303" spans="1:1" ht="15.75" customHeight="1" x14ac:dyDescent="0.25">
      <c r="A303" s="7"/>
    </row>
    <row r="304" spans="1:1" ht="15.75" customHeight="1" x14ac:dyDescent="0.25">
      <c r="A304" s="7"/>
    </row>
    <row r="305" spans="1:1" ht="15.75" customHeight="1" x14ac:dyDescent="0.25">
      <c r="A305" s="7"/>
    </row>
    <row r="306" spans="1:1" ht="15.75" customHeight="1" x14ac:dyDescent="0.25">
      <c r="A306" s="7"/>
    </row>
    <row r="307" spans="1:1" ht="15.75" customHeight="1" x14ac:dyDescent="0.25">
      <c r="A307" s="7"/>
    </row>
    <row r="308" spans="1:1" ht="15.75" customHeight="1" x14ac:dyDescent="0.25">
      <c r="A308" s="7"/>
    </row>
    <row r="309" spans="1:1" ht="15.75" customHeight="1" x14ac:dyDescent="0.25">
      <c r="A309" s="7"/>
    </row>
    <row r="310" spans="1:1" ht="15.75" customHeight="1" x14ac:dyDescent="0.25">
      <c r="A310" s="7"/>
    </row>
    <row r="311" spans="1:1" ht="15.75" customHeight="1" x14ac:dyDescent="0.25">
      <c r="A311" s="7"/>
    </row>
    <row r="312" spans="1:1" ht="15.75" customHeight="1" x14ac:dyDescent="0.25">
      <c r="A312" s="7"/>
    </row>
    <row r="313" spans="1:1" ht="15.75" customHeight="1" x14ac:dyDescent="0.25">
      <c r="A313" s="7"/>
    </row>
    <row r="314" spans="1:1" ht="15.75" customHeight="1" x14ac:dyDescent="0.25">
      <c r="A314" s="7"/>
    </row>
    <row r="315" spans="1:1" ht="15.75" customHeight="1" x14ac:dyDescent="0.25">
      <c r="A315" s="7"/>
    </row>
    <row r="316" spans="1:1" ht="15.75" customHeight="1" x14ac:dyDescent="0.25">
      <c r="A316" s="7"/>
    </row>
    <row r="317" spans="1:1" ht="15.75" customHeight="1" x14ac:dyDescent="0.25">
      <c r="A317" s="7"/>
    </row>
    <row r="318" spans="1:1" ht="15.75" customHeight="1" x14ac:dyDescent="0.25">
      <c r="A318" s="7"/>
    </row>
    <row r="319" spans="1:1" ht="15.75" customHeight="1" x14ac:dyDescent="0.25">
      <c r="A319" s="7"/>
    </row>
    <row r="320" spans="1:1" ht="15.75" customHeight="1" x14ac:dyDescent="0.25">
      <c r="A320" s="7"/>
    </row>
    <row r="321" spans="1:1" ht="15.75" customHeight="1" x14ac:dyDescent="0.25">
      <c r="A321" s="7"/>
    </row>
    <row r="322" spans="1:1" ht="15.75" customHeight="1" x14ac:dyDescent="0.25">
      <c r="A322" s="7"/>
    </row>
    <row r="323" spans="1:1" ht="15.75" customHeight="1" x14ac:dyDescent="0.25">
      <c r="A323" s="7"/>
    </row>
    <row r="324" spans="1:1" ht="15.75" customHeight="1" x14ac:dyDescent="0.25">
      <c r="A324" s="7"/>
    </row>
    <row r="325" spans="1:1" ht="15.75" customHeight="1" x14ac:dyDescent="0.25">
      <c r="A325" s="7"/>
    </row>
    <row r="326" spans="1:1" ht="15.75" customHeight="1" x14ac:dyDescent="0.25">
      <c r="A326" s="7"/>
    </row>
    <row r="327" spans="1:1" ht="15.75" customHeight="1" x14ac:dyDescent="0.25">
      <c r="A327" s="7"/>
    </row>
    <row r="328" spans="1:1" ht="15.75" customHeight="1" x14ac:dyDescent="0.25">
      <c r="A328" s="7"/>
    </row>
    <row r="329" spans="1:1" ht="15.75" customHeight="1" x14ac:dyDescent="0.25">
      <c r="A329" s="7"/>
    </row>
    <row r="330" spans="1:1" ht="15.75" customHeight="1" x14ac:dyDescent="0.25">
      <c r="A330" s="7"/>
    </row>
    <row r="331" spans="1:1" ht="15.75" customHeight="1" x14ac:dyDescent="0.25">
      <c r="A331" s="7"/>
    </row>
    <row r="332" spans="1:1" ht="15.75" customHeight="1" x14ac:dyDescent="0.25">
      <c r="A332" s="7"/>
    </row>
    <row r="333" spans="1:1" ht="15.75" customHeight="1" x14ac:dyDescent="0.25">
      <c r="A333" s="7"/>
    </row>
    <row r="334" spans="1:1" ht="15.75" customHeight="1" x14ac:dyDescent="0.25">
      <c r="A334" s="7"/>
    </row>
    <row r="335" spans="1:1" ht="15.75" customHeight="1" x14ac:dyDescent="0.25">
      <c r="A335" s="7"/>
    </row>
    <row r="336" spans="1:1" ht="15.75" customHeight="1" x14ac:dyDescent="0.25">
      <c r="A336" s="7"/>
    </row>
    <row r="337" spans="1:1" ht="15.75" customHeight="1" x14ac:dyDescent="0.25">
      <c r="A337" s="7"/>
    </row>
    <row r="338" spans="1:1" ht="15.75" customHeight="1" x14ac:dyDescent="0.25">
      <c r="A338" s="7"/>
    </row>
    <row r="339" spans="1:1" ht="15.75" customHeight="1" x14ac:dyDescent="0.25">
      <c r="A339" s="7"/>
    </row>
    <row r="340" spans="1:1" ht="15.75" customHeight="1" x14ac:dyDescent="0.25">
      <c r="A340" s="7"/>
    </row>
    <row r="341" spans="1:1" ht="15.75" customHeight="1" x14ac:dyDescent="0.25">
      <c r="A341" s="7"/>
    </row>
    <row r="342" spans="1:1" ht="15.75" customHeight="1" x14ac:dyDescent="0.25">
      <c r="A342" s="7"/>
    </row>
    <row r="343" spans="1:1" ht="15.75" customHeight="1" x14ac:dyDescent="0.25">
      <c r="A343" s="7"/>
    </row>
    <row r="344" spans="1:1" ht="15.75" customHeight="1" x14ac:dyDescent="0.25">
      <c r="A344" s="7"/>
    </row>
    <row r="345" spans="1:1" ht="15.75" customHeight="1" x14ac:dyDescent="0.25">
      <c r="A345" s="7"/>
    </row>
    <row r="346" spans="1:1" ht="15.75" customHeight="1" x14ac:dyDescent="0.25">
      <c r="A346" s="7"/>
    </row>
    <row r="347" spans="1:1" ht="15.75" customHeight="1" x14ac:dyDescent="0.25">
      <c r="A347" s="7"/>
    </row>
    <row r="348" spans="1:1" ht="15.75" customHeight="1" x14ac:dyDescent="0.25">
      <c r="A348" s="7"/>
    </row>
    <row r="349" spans="1:1" ht="15.75" customHeight="1" x14ac:dyDescent="0.25">
      <c r="A349" s="7"/>
    </row>
    <row r="350" spans="1:1" ht="15.75" customHeight="1" x14ac:dyDescent="0.25">
      <c r="A350" s="7"/>
    </row>
    <row r="351" spans="1:1" ht="15.75" customHeight="1" x14ac:dyDescent="0.25">
      <c r="A351" s="7"/>
    </row>
    <row r="352" spans="1:1" ht="15.75" customHeight="1" x14ac:dyDescent="0.25">
      <c r="A352" s="7"/>
    </row>
    <row r="353" spans="1:1" ht="15.75" customHeight="1" x14ac:dyDescent="0.25">
      <c r="A353" s="7"/>
    </row>
    <row r="354" spans="1:1" ht="15.75" customHeight="1" x14ac:dyDescent="0.25">
      <c r="A354" s="7"/>
    </row>
    <row r="355" spans="1:1" ht="15.75" customHeight="1" x14ac:dyDescent="0.25">
      <c r="A355" s="7"/>
    </row>
    <row r="356" spans="1:1" ht="15.75" customHeight="1" x14ac:dyDescent="0.25">
      <c r="A356" s="7"/>
    </row>
    <row r="357" spans="1:1" ht="15.75" customHeight="1" x14ac:dyDescent="0.25">
      <c r="A357" s="7"/>
    </row>
    <row r="358" spans="1:1" ht="15.75" customHeight="1" x14ac:dyDescent="0.25">
      <c r="A358" s="7"/>
    </row>
    <row r="359" spans="1:1" ht="15.75" customHeight="1" x14ac:dyDescent="0.25">
      <c r="A359" s="7"/>
    </row>
    <row r="360" spans="1:1" ht="15.75" customHeight="1" x14ac:dyDescent="0.25">
      <c r="A360" s="7"/>
    </row>
    <row r="361" spans="1:1" ht="15.75" customHeight="1" x14ac:dyDescent="0.25">
      <c r="A361" s="7"/>
    </row>
    <row r="362" spans="1:1" ht="15.75" customHeight="1" x14ac:dyDescent="0.25">
      <c r="A362" s="7"/>
    </row>
    <row r="363" spans="1:1" ht="15.75" customHeight="1" x14ac:dyDescent="0.25">
      <c r="A363" s="7"/>
    </row>
    <row r="364" spans="1:1" ht="15.75" customHeight="1" x14ac:dyDescent="0.25">
      <c r="A364" s="7"/>
    </row>
    <row r="365" spans="1:1" ht="15.75" customHeight="1" x14ac:dyDescent="0.25">
      <c r="A365" s="7"/>
    </row>
    <row r="366" spans="1:1" ht="15.75" customHeight="1" x14ac:dyDescent="0.25">
      <c r="A366" s="7"/>
    </row>
    <row r="367" spans="1:1" ht="15.75" customHeight="1" x14ac:dyDescent="0.25">
      <c r="A367" s="7"/>
    </row>
    <row r="368" spans="1:1" ht="15.75" customHeight="1" x14ac:dyDescent="0.25">
      <c r="A368" s="7"/>
    </row>
    <row r="369" spans="1:1" ht="15.75" customHeight="1" x14ac:dyDescent="0.25">
      <c r="A369" s="7"/>
    </row>
    <row r="370" spans="1:1" ht="15.75" customHeight="1" x14ac:dyDescent="0.25">
      <c r="A370" s="7"/>
    </row>
    <row r="371" spans="1:1" ht="15.75" customHeight="1" x14ac:dyDescent="0.25">
      <c r="A371" s="7"/>
    </row>
    <row r="372" spans="1:1" ht="15.75" customHeight="1" x14ac:dyDescent="0.25">
      <c r="A372" s="7"/>
    </row>
    <row r="373" spans="1:1" ht="15.75" customHeight="1" x14ac:dyDescent="0.25">
      <c r="A373" s="7"/>
    </row>
    <row r="374" spans="1:1" ht="15.75" customHeight="1" x14ac:dyDescent="0.25">
      <c r="A374" s="7"/>
    </row>
    <row r="375" spans="1:1" ht="15.75" customHeight="1" x14ac:dyDescent="0.25">
      <c r="A375" s="7"/>
    </row>
    <row r="376" spans="1:1" ht="15.75" customHeight="1" x14ac:dyDescent="0.25">
      <c r="A376" s="7"/>
    </row>
    <row r="377" spans="1:1" ht="15.75" customHeight="1" x14ac:dyDescent="0.25">
      <c r="A377" s="7"/>
    </row>
    <row r="378" spans="1:1" ht="15.75" customHeight="1" x14ac:dyDescent="0.25">
      <c r="A378" s="7"/>
    </row>
    <row r="379" spans="1:1" ht="15.75" customHeight="1" x14ac:dyDescent="0.25">
      <c r="A379" s="7"/>
    </row>
    <row r="380" spans="1:1" ht="15.75" customHeight="1" x14ac:dyDescent="0.25">
      <c r="A380" s="7"/>
    </row>
    <row r="381" spans="1:1" ht="15.75" customHeight="1" x14ac:dyDescent="0.25">
      <c r="A381" s="7"/>
    </row>
    <row r="382" spans="1:1" ht="15.75" customHeight="1" x14ac:dyDescent="0.25">
      <c r="A382" s="7"/>
    </row>
    <row r="383" spans="1:1" ht="15.75" customHeight="1" x14ac:dyDescent="0.25">
      <c r="A383" s="7"/>
    </row>
    <row r="384" spans="1:1" ht="15.75" customHeight="1" x14ac:dyDescent="0.25">
      <c r="A384" s="7"/>
    </row>
    <row r="385" spans="1:1" ht="15.75" customHeight="1" x14ac:dyDescent="0.25">
      <c r="A385" s="7"/>
    </row>
    <row r="386" spans="1:1" ht="15.75" customHeight="1" x14ac:dyDescent="0.25">
      <c r="A386" s="7"/>
    </row>
    <row r="387" spans="1:1" ht="15.75" customHeight="1" x14ac:dyDescent="0.25">
      <c r="A387" s="7"/>
    </row>
    <row r="388" spans="1:1" ht="15.75" customHeight="1" x14ac:dyDescent="0.25">
      <c r="A388" s="7"/>
    </row>
    <row r="389" spans="1:1" ht="15.75" customHeight="1" x14ac:dyDescent="0.25">
      <c r="A389" s="7"/>
    </row>
    <row r="390" spans="1:1" ht="15.75" customHeight="1" x14ac:dyDescent="0.25">
      <c r="A390" s="7"/>
    </row>
    <row r="391" spans="1:1" ht="15.75" customHeight="1" x14ac:dyDescent="0.25">
      <c r="A391" s="7"/>
    </row>
    <row r="392" spans="1:1" ht="15.75" customHeight="1" x14ac:dyDescent="0.25">
      <c r="A392" s="7"/>
    </row>
    <row r="393" spans="1:1" ht="15.75" customHeight="1" x14ac:dyDescent="0.25">
      <c r="A393" s="7"/>
    </row>
    <row r="394" spans="1:1" ht="15.75" customHeight="1" x14ac:dyDescent="0.25">
      <c r="A394" s="7"/>
    </row>
    <row r="395" spans="1:1" ht="15.75" customHeight="1" x14ac:dyDescent="0.25">
      <c r="A395" s="7"/>
    </row>
    <row r="396" spans="1:1" ht="15.75" customHeight="1" x14ac:dyDescent="0.25">
      <c r="A396" s="7"/>
    </row>
    <row r="397" spans="1:1" ht="15.75" customHeight="1" x14ac:dyDescent="0.25">
      <c r="A397" s="7"/>
    </row>
    <row r="398" spans="1:1" ht="15.75" customHeight="1" x14ac:dyDescent="0.25">
      <c r="A398" s="7"/>
    </row>
    <row r="399" spans="1:1" ht="15.75" customHeight="1" x14ac:dyDescent="0.25">
      <c r="A399" s="7"/>
    </row>
    <row r="400" spans="1:1" ht="15.75" customHeight="1" x14ac:dyDescent="0.25">
      <c r="A400" s="7"/>
    </row>
    <row r="401" spans="1:1" ht="15.75" customHeight="1" x14ac:dyDescent="0.25">
      <c r="A401" s="7"/>
    </row>
    <row r="402" spans="1:1" ht="15.75" customHeight="1" x14ac:dyDescent="0.25">
      <c r="A402" s="7"/>
    </row>
    <row r="403" spans="1:1" ht="15.75" customHeight="1" x14ac:dyDescent="0.25">
      <c r="A403" s="7"/>
    </row>
    <row r="404" spans="1:1" ht="15.75" customHeight="1" x14ac:dyDescent="0.25">
      <c r="A404" s="7"/>
    </row>
    <row r="405" spans="1:1" ht="15.75" customHeight="1" x14ac:dyDescent="0.25">
      <c r="A405" s="7"/>
    </row>
    <row r="406" spans="1:1" ht="15.75" customHeight="1" x14ac:dyDescent="0.25">
      <c r="A406" s="7"/>
    </row>
    <row r="407" spans="1:1" ht="15.75" customHeight="1" x14ac:dyDescent="0.25">
      <c r="A407" s="7"/>
    </row>
    <row r="408" spans="1:1" ht="15.75" customHeight="1" x14ac:dyDescent="0.25">
      <c r="A408" s="7"/>
    </row>
    <row r="409" spans="1:1" ht="15.75" customHeight="1" x14ac:dyDescent="0.25">
      <c r="A409" s="7"/>
    </row>
    <row r="410" spans="1:1" ht="15.75" customHeight="1" x14ac:dyDescent="0.25">
      <c r="A410" s="7"/>
    </row>
    <row r="411" spans="1:1" ht="15.75" customHeight="1" x14ac:dyDescent="0.25">
      <c r="A411" s="7"/>
    </row>
    <row r="412" spans="1:1" ht="15.75" customHeight="1" x14ac:dyDescent="0.25">
      <c r="A412" s="7"/>
    </row>
    <row r="413" spans="1:1" ht="15.75" customHeight="1" x14ac:dyDescent="0.25">
      <c r="A413" s="7"/>
    </row>
    <row r="414" spans="1:1" ht="15.75" customHeight="1" x14ac:dyDescent="0.25">
      <c r="A414" s="7"/>
    </row>
    <row r="415" spans="1:1" ht="15.75" customHeight="1" x14ac:dyDescent="0.25">
      <c r="A415" s="7"/>
    </row>
    <row r="416" spans="1:1" ht="15.75" customHeight="1" x14ac:dyDescent="0.25">
      <c r="A416" s="7"/>
    </row>
    <row r="417" spans="1:1" ht="15.75" customHeight="1" x14ac:dyDescent="0.25">
      <c r="A417" s="7"/>
    </row>
    <row r="418" spans="1:1" ht="15.75" customHeight="1" x14ac:dyDescent="0.25">
      <c r="A418" s="7"/>
    </row>
    <row r="419" spans="1:1" ht="15.75" customHeight="1" x14ac:dyDescent="0.25">
      <c r="A419" s="7"/>
    </row>
    <row r="420" spans="1:1" ht="15.75" customHeight="1" x14ac:dyDescent="0.25">
      <c r="A420" s="7"/>
    </row>
    <row r="421" spans="1:1" ht="15.75" customHeight="1" x14ac:dyDescent="0.25">
      <c r="A421" s="7"/>
    </row>
    <row r="422" spans="1:1" ht="15.75" customHeight="1" x14ac:dyDescent="0.25">
      <c r="A422" s="7"/>
    </row>
    <row r="423" spans="1:1" ht="15.75" customHeight="1" x14ac:dyDescent="0.25">
      <c r="A423" s="7"/>
    </row>
    <row r="424" spans="1:1" ht="15.75" customHeight="1" x14ac:dyDescent="0.25">
      <c r="A424" s="7"/>
    </row>
    <row r="425" spans="1:1" ht="15.75" customHeight="1" x14ac:dyDescent="0.25">
      <c r="A425" s="7"/>
    </row>
    <row r="426" spans="1:1" ht="15.75" customHeight="1" x14ac:dyDescent="0.25">
      <c r="A426" s="7"/>
    </row>
    <row r="427" spans="1:1" ht="15.75" customHeight="1" x14ac:dyDescent="0.25">
      <c r="A427" s="7"/>
    </row>
    <row r="428" spans="1:1" ht="15.75" customHeight="1" x14ac:dyDescent="0.25">
      <c r="A428" s="7"/>
    </row>
    <row r="429" spans="1:1" ht="15.75" customHeight="1" x14ac:dyDescent="0.25">
      <c r="A429" s="7"/>
    </row>
    <row r="430" spans="1:1" ht="15.75" customHeight="1" x14ac:dyDescent="0.25">
      <c r="A430" s="7"/>
    </row>
    <row r="431" spans="1:1" ht="15.75" customHeight="1" x14ac:dyDescent="0.25">
      <c r="A431" s="7"/>
    </row>
    <row r="432" spans="1:1" ht="15.75" customHeight="1" x14ac:dyDescent="0.25">
      <c r="A432" s="7"/>
    </row>
    <row r="433" spans="1:1" ht="15.75" customHeight="1" x14ac:dyDescent="0.25">
      <c r="A433" s="7"/>
    </row>
    <row r="434" spans="1:1" ht="15.75" customHeight="1" x14ac:dyDescent="0.25">
      <c r="A434" s="7"/>
    </row>
    <row r="435" spans="1:1" ht="15.75" customHeight="1" x14ac:dyDescent="0.25">
      <c r="A435" s="7"/>
    </row>
    <row r="436" spans="1:1" ht="15.75" customHeight="1" x14ac:dyDescent="0.25">
      <c r="A436" s="7"/>
    </row>
    <row r="437" spans="1:1" ht="15.75" customHeight="1" x14ac:dyDescent="0.25">
      <c r="A437" s="7"/>
    </row>
    <row r="438" spans="1:1" ht="15.75" customHeight="1" x14ac:dyDescent="0.25">
      <c r="A438" s="7"/>
    </row>
    <row r="439" spans="1:1" ht="15.75" customHeight="1" x14ac:dyDescent="0.25">
      <c r="A439" s="7"/>
    </row>
    <row r="440" spans="1:1" ht="15.75" customHeight="1" x14ac:dyDescent="0.25">
      <c r="A440" s="7"/>
    </row>
    <row r="441" spans="1:1" ht="15.75" customHeight="1" x14ac:dyDescent="0.25">
      <c r="A441" s="7"/>
    </row>
    <row r="442" spans="1:1" ht="15.75" customHeight="1" x14ac:dyDescent="0.25">
      <c r="A442" s="7"/>
    </row>
    <row r="443" spans="1:1" ht="15.75" customHeight="1" x14ac:dyDescent="0.25">
      <c r="A443" s="7"/>
    </row>
    <row r="444" spans="1:1" ht="15.75" customHeight="1" x14ac:dyDescent="0.25">
      <c r="A444" s="7"/>
    </row>
    <row r="445" spans="1:1" ht="15.75" customHeight="1" x14ac:dyDescent="0.25">
      <c r="A445" s="7"/>
    </row>
    <row r="446" spans="1:1" ht="15.75" customHeight="1" x14ac:dyDescent="0.25">
      <c r="A446" s="7"/>
    </row>
    <row r="447" spans="1:1" ht="15.75" customHeight="1" x14ac:dyDescent="0.25">
      <c r="A447" s="7"/>
    </row>
    <row r="448" spans="1:1" ht="15.75" customHeight="1" x14ac:dyDescent="0.25">
      <c r="A448" s="7"/>
    </row>
    <row r="449" spans="1:1" ht="15.75" customHeight="1" x14ac:dyDescent="0.25">
      <c r="A449" s="7"/>
    </row>
    <row r="450" spans="1:1" ht="15.75" customHeight="1" x14ac:dyDescent="0.25">
      <c r="A450" s="7"/>
    </row>
    <row r="451" spans="1:1" ht="15.75" customHeight="1" x14ac:dyDescent="0.25">
      <c r="A451" s="7"/>
    </row>
    <row r="452" spans="1:1" ht="15.75" customHeight="1" x14ac:dyDescent="0.25">
      <c r="A452" s="7"/>
    </row>
    <row r="453" spans="1:1" ht="15.75" customHeight="1" x14ac:dyDescent="0.25">
      <c r="A453" s="7"/>
    </row>
    <row r="454" spans="1:1" ht="15.75" customHeight="1" x14ac:dyDescent="0.25">
      <c r="A454" s="7"/>
    </row>
    <row r="455" spans="1:1" ht="15.75" customHeight="1" x14ac:dyDescent="0.25">
      <c r="A455" s="7"/>
    </row>
    <row r="456" spans="1:1" ht="15.75" customHeight="1" x14ac:dyDescent="0.25">
      <c r="A456" s="7"/>
    </row>
    <row r="457" spans="1:1" ht="15.75" customHeight="1" x14ac:dyDescent="0.25">
      <c r="A457" s="7"/>
    </row>
    <row r="458" spans="1:1" ht="15.75" customHeight="1" x14ac:dyDescent="0.25">
      <c r="A458" s="7"/>
    </row>
    <row r="459" spans="1:1" ht="15.75" customHeight="1" x14ac:dyDescent="0.25">
      <c r="A459" s="7"/>
    </row>
    <row r="460" spans="1:1" ht="15.75" customHeight="1" x14ac:dyDescent="0.25">
      <c r="A460" s="7"/>
    </row>
    <row r="461" spans="1:1" ht="15.75" customHeight="1" x14ac:dyDescent="0.25">
      <c r="A461" s="7"/>
    </row>
    <row r="462" spans="1:1" ht="15.75" customHeight="1" x14ac:dyDescent="0.25">
      <c r="A462" s="7"/>
    </row>
    <row r="463" spans="1:1" ht="15.75" customHeight="1" x14ac:dyDescent="0.25">
      <c r="A463" s="7"/>
    </row>
    <row r="464" spans="1:1" ht="15.75" customHeight="1" x14ac:dyDescent="0.25">
      <c r="A464" s="7"/>
    </row>
    <row r="465" spans="1:1" ht="15.75" customHeight="1" x14ac:dyDescent="0.25">
      <c r="A465" s="7"/>
    </row>
    <row r="466" spans="1:1" ht="15.75" customHeight="1" x14ac:dyDescent="0.25">
      <c r="A466" s="7"/>
    </row>
    <row r="467" spans="1:1" ht="15.75" customHeight="1" x14ac:dyDescent="0.25">
      <c r="A467" s="7"/>
    </row>
    <row r="468" spans="1:1" ht="15.75" customHeight="1" x14ac:dyDescent="0.25">
      <c r="A468" s="7"/>
    </row>
    <row r="469" spans="1:1" ht="15.75" customHeight="1" x14ac:dyDescent="0.25">
      <c r="A469" s="7"/>
    </row>
    <row r="470" spans="1:1" ht="15.75" customHeight="1" x14ac:dyDescent="0.25">
      <c r="A470" s="7"/>
    </row>
    <row r="471" spans="1:1" ht="15.75" customHeight="1" x14ac:dyDescent="0.25">
      <c r="A471" s="7"/>
    </row>
    <row r="472" spans="1:1" ht="15.75" customHeight="1" x14ac:dyDescent="0.25">
      <c r="A472" s="7"/>
    </row>
    <row r="473" spans="1:1" ht="15.75" customHeight="1" x14ac:dyDescent="0.25">
      <c r="A473" s="7"/>
    </row>
    <row r="474" spans="1:1" ht="15.75" customHeight="1" x14ac:dyDescent="0.25">
      <c r="A474" s="7"/>
    </row>
    <row r="475" spans="1:1" ht="15.75" customHeight="1" x14ac:dyDescent="0.25">
      <c r="A475" s="7"/>
    </row>
    <row r="476" spans="1:1" ht="15.75" customHeight="1" x14ac:dyDescent="0.25">
      <c r="A476" s="7"/>
    </row>
    <row r="477" spans="1:1" ht="15.75" customHeight="1" x14ac:dyDescent="0.25">
      <c r="A477" s="7"/>
    </row>
    <row r="478" spans="1:1" ht="15.75" customHeight="1" x14ac:dyDescent="0.25">
      <c r="A478" s="7"/>
    </row>
    <row r="479" spans="1:1" ht="15.75" customHeight="1" x14ac:dyDescent="0.25">
      <c r="A479" s="7"/>
    </row>
    <row r="480" spans="1:1" ht="15.75" customHeight="1" x14ac:dyDescent="0.25">
      <c r="A480" s="7"/>
    </row>
    <row r="481" spans="1:1" ht="15.75" customHeight="1" x14ac:dyDescent="0.25">
      <c r="A481" s="7"/>
    </row>
    <row r="482" spans="1:1" ht="15.75" customHeight="1" x14ac:dyDescent="0.25">
      <c r="A482" s="7"/>
    </row>
    <row r="483" spans="1:1" ht="15.75" customHeight="1" x14ac:dyDescent="0.25">
      <c r="A483" s="7"/>
    </row>
    <row r="484" spans="1:1" ht="15.75" customHeight="1" x14ac:dyDescent="0.25">
      <c r="A484" s="7"/>
    </row>
    <row r="485" spans="1:1" ht="15.75" customHeight="1" x14ac:dyDescent="0.25">
      <c r="A485" s="7"/>
    </row>
    <row r="486" spans="1:1" ht="15.75" customHeight="1" x14ac:dyDescent="0.25">
      <c r="A486" s="7"/>
    </row>
    <row r="487" spans="1:1" ht="15.75" customHeight="1" x14ac:dyDescent="0.25">
      <c r="A487" s="7"/>
    </row>
    <row r="488" spans="1:1" ht="15.75" customHeight="1" x14ac:dyDescent="0.25">
      <c r="A488" s="7"/>
    </row>
    <row r="489" spans="1:1" ht="15.75" customHeight="1" x14ac:dyDescent="0.25">
      <c r="A489" s="7"/>
    </row>
    <row r="490" spans="1:1" ht="15.75" customHeight="1" x14ac:dyDescent="0.25">
      <c r="A490" s="7"/>
    </row>
    <row r="491" spans="1:1" ht="15.75" customHeight="1" x14ac:dyDescent="0.25">
      <c r="A491" s="7"/>
    </row>
    <row r="492" spans="1:1" ht="15.75" customHeight="1" x14ac:dyDescent="0.25">
      <c r="A492" s="7"/>
    </row>
    <row r="493" spans="1:1" ht="15.75" customHeight="1" x14ac:dyDescent="0.25">
      <c r="A493" s="7"/>
    </row>
    <row r="494" spans="1:1" ht="15.75" customHeight="1" x14ac:dyDescent="0.25">
      <c r="A494" s="7"/>
    </row>
    <row r="495" spans="1:1" ht="15.75" customHeight="1" x14ac:dyDescent="0.25">
      <c r="A495" s="7"/>
    </row>
    <row r="496" spans="1:1" ht="15.75" customHeight="1" x14ac:dyDescent="0.25">
      <c r="A496" s="7"/>
    </row>
    <row r="497" spans="1:1" ht="15.75" customHeight="1" x14ac:dyDescent="0.25">
      <c r="A497" s="7"/>
    </row>
    <row r="498" spans="1:1" ht="15.75" customHeight="1" x14ac:dyDescent="0.25">
      <c r="A498" s="7"/>
    </row>
    <row r="499" spans="1:1" ht="15.75" customHeight="1" x14ac:dyDescent="0.25">
      <c r="A499" s="7"/>
    </row>
    <row r="500" spans="1:1" ht="15.75" customHeight="1" x14ac:dyDescent="0.25">
      <c r="A500" s="7"/>
    </row>
    <row r="501" spans="1:1" ht="15.75" customHeight="1" x14ac:dyDescent="0.25">
      <c r="A501" s="7"/>
    </row>
    <row r="502" spans="1:1" ht="15.75" customHeight="1" x14ac:dyDescent="0.25">
      <c r="A502" s="7"/>
    </row>
    <row r="503" spans="1:1" ht="15.75" customHeight="1" x14ac:dyDescent="0.25">
      <c r="A503" s="7"/>
    </row>
    <row r="504" spans="1:1" ht="15.75" customHeight="1" x14ac:dyDescent="0.25">
      <c r="A504" s="7"/>
    </row>
    <row r="505" spans="1:1" ht="15.75" customHeight="1" x14ac:dyDescent="0.25">
      <c r="A505" s="7"/>
    </row>
    <row r="506" spans="1:1" ht="15.75" customHeight="1" x14ac:dyDescent="0.25">
      <c r="A506" s="7"/>
    </row>
    <row r="507" spans="1:1" ht="15.75" customHeight="1" x14ac:dyDescent="0.25">
      <c r="A507" s="7"/>
    </row>
    <row r="508" spans="1:1" ht="15.75" customHeight="1" x14ac:dyDescent="0.25">
      <c r="A508" s="7"/>
    </row>
    <row r="509" spans="1:1" ht="15.75" customHeight="1" x14ac:dyDescent="0.25">
      <c r="A509" s="7"/>
    </row>
    <row r="510" spans="1:1" ht="15.75" customHeight="1" x14ac:dyDescent="0.25">
      <c r="A510" s="7"/>
    </row>
    <row r="511" spans="1:1" ht="15.75" customHeight="1" x14ac:dyDescent="0.25">
      <c r="A511" s="7"/>
    </row>
    <row r="512" spans="1:1" ht="15.75" customHeight="1" x14ac:dyDescent="0.25">
      <c r="A512" s="7"/>
    </row>
    <row r="513" spans="1:1" ht="15.75" customHeight="1" x14ac:dyDescent="0.25">
      <c r="A513" s="7"/>
    </row>
    <row r="514" spans="1:1" ht="15.75" customHeight="1" x14ac:dyDescent="0.25">
      <c r="A514" s="7"/>
    </row>
    <row r="515" spans="1:1" ht="15.75" customHeight="1" x14ac:dyDescent="0.25">
      <c r="A515" s="7"/>
    </row>
    <row r="516" spans="1:1" ht="15.75" customHeight="1" x14ac:dyDescent="0.25">
      <c r="A516" s="7"/>
    </row>
    <row r="517" spans="1:1" ht="15.75" customHeight="1" x14ac:dyDescent="0.25">
      <c r="A517" s="7"/>
    </row>
    <row r="518" spans="1:1" ht="15.75" customHeight="1" x14ac:dyDescent="0.25">
      <c r="A518" s="7"/>
    </row>
    <row r="519" spans="1:1" ht="15.75" customHeight="1" x14ac:dyDescent="0.25">
      <c r="A519" s="7"/>
    </row>
    <row r="520" spans="1:1" ht="15.75" customHeight="1" x14ac:dyDescent="0.25">
      <c r="A520" s="7"/>
    </row>
    <row r="521" spans="1:1" ht="15.75" customHeight="1" x14ac:dyDescent="0.25">
      <c r="A521" s="7"/>
    </row>
    <row r="522" spans="1:1" ht="15.75" customHeight="1" x14ac:dyDescent="0.25">
      <c r="A522" s="7"/>
    </row>
    <row r="523" spans="1:1" ht="15.75" customHeight="1" x14ac:dyDescent="0.25">
      <c r="A523" s="7"/>
    </row>
    <row r="524" spans="1:1" ht="15.75" customHeight="1" x14ac:dyDescent="0.25">
      <c r="A524" s="7"/>
    </row>
    <row r="525" spans="1:1" ht="15.75" customHeight="1" x14ac:dyDescent="0.25">
      <c r="A525" s="7"/>
    </row>
    <row r="526" spans="1:1" ht="15.75" customHeight="1" x14ac:dyDescent="0.25">
      <c r="A526" s="7"/>
    </row>
    <row r="527" spans="1:1" ht="15.75" customHeight="1" x14ac:dyDescent="0.25">
      <c r="A527" s="7"/>
    </row>
    <row r="528" spans="1:1" ht="15.75" customHeight="1" x14ac:dyDescent="0.25">
      <c r="A528" s="7"/>
    </row>
    <row r="529" spans="1:1" ht="15.75" customHeight="1" x14ac:dyDescent="0.25">
      <c r="A529" s="7"/>
    </row>
    <row r="530" spans="1:1" ht="15.75" customHeight="1" x14ac:dyDescent="0.25">
      <c r="A530" s="7"/>
    </row>
    <row r="531" spans="1:1" ht="15.75" customHeight="1" x14ac:dyDescent="0.25">
      <c r="A531" s="7"/>
    </row>
    <row r="532" spans="1:1" ht="15.75" customHeight="1" x14ac:dyDescent="0.25">
      <c r="A532" s="7"/>
    </row>
    <row r="533" spans="1:1" ht="15.75" customHeight="1" x14ac:dyDescent="0.25">
      <c r="A533" s="7"/>
    </row>
    <row r="534" spans="1:1" ht="15.75" customHeight="1" x14ac:dyDescent="0.25">
      <c r="A534" s="7"/>
    </row>
    <row r="535" spans="1:1" ht="15.75" customHeight="1" x14ac:dyDescent="0.25">
      <c r="A535" s="7"/>
    </row>
    <row r="536" spans="1:1" ht="15.75" customHeight="1" x14ac:dyDescent="0.25">
      <c r="A536" s="7"/>
    </row>
    <row r="537" spans="1:1" ht="15.75" customHeight="1" x14ac:dyDescent="0.25">
      <c r="A537" s="7"/>
    </row>
    <row r="538" spans="1:1" ht="15.75" customHeight="1" x14ac:dyDescent="0.25">
      <c r="A538" s="7"/>
    </row>
    <row r="539" spans="1:1" ht="15.75" customHeight="1" x14ac:dyDescent="0.25">
      <c r="A539" s="7"/>
    </row>
    <row r="540" spans="1:1" ht="15.75" customHeight="1" x14ac:dyDescent="0.25">
      <c r="A540" s="7"/>
    </row>
    <row r="541" spans="1:1" ht="15.75" customHeight="1" x14ac:dyDescent="0.25">
      <c r="A541" s="7"/>
    </row>
    <row r="542" spans="1:1" ht="15.75" customHeight="1" x14ac:dyDescent="0.25">
      <c r="A542" s="7"/>
    </row>
    <row r="543" spans="1:1" ht="15.75" customHeight="1" x14ac:dyDescent="0.25">
      <c r="A543" s="7"/>
    </row>
    <row r="544" spans="1:1" ht="15.75" customHeight="1" x14ac:dyDescent="0.25">
      <c r="A544" s="7"/>
    </row>
    <row r="545" spans="1:1" ht="15.75" customHeight="1" x14ac:dyDescent="0.25">
      <c r="A545" s="7"/>
    </row>
    <row r="546" spans="1:1" ht="15.75" customHeight="1" x14ac:dyDescent="0.25">
      <c r="A546" s="7"/>
    </row>
    <row r="547" spans="1:1" ht="15.75" customHeight="1" x14ac:dyDescent="0.25">
      <c r="A547" s="7"/>
    </row>
    <row r="548" spans="1:1" ht="15.75" customHeight="1" x14ac:dyDescent="0.25">
      <c r="A548" s="7"/>
    </row>
    <row r="549" spans="1:1" ht="15.75" customHeight="1" x14ac:dyDescent="0.25">
      <c r="A549" s="7"/>
    </row>
    <row r="550" spans="1:1" ht="15.75" customHeight="1" x14ac:dyDescent="0.25">
      <c r="A550" s="7"/>
    </row>
    <row r="551" spans="1:1" ht="15.75" customHeight="1" x14ac:dyDescent="0.25">
      <c r="A551" s="7"/>
    </row>
    <row r="552" spans="1:1" ht="15.75" customHeight="1" x14ac:dyDescent="0.25">
      <c r="A552" s="7"/>
    </row>
    <row r="553" spans="1:1" ht="15.75" customHeight="1" x14ac:dyDescent="0.25">
      <c r="A553" s="7"/>
    </row>
    <row r="554" spans="1:1" ht="15.75" customHeight="1" x14ac:dyDescent="0.25">
      <c r="A554" s="7"/>
    </row>
    <row r="555" spans="1:1" ht="15.75" customHeight="1" x14ac:dyDescent="0.25">
      <c r="A555" s="7"/>
    </row>
    <row r="556" spans="1:1" ht="15.75" customHeight="1" x14ac:dyDescent="0.25">
      <c r="A556" s="7"/>
    </row>
    <row r="557" spans="1:1" ht="15.75" customHeight="1" x14ac:dyDescent="0.25">
      <c r="A557" s="7"/>
    </row>
    <row r="558" spans="1:1" ht="15.75" customHeight="1" x14ac:dyDescent="0.25">
      <c r="A558" s="7"/>
    </row>
    <row r="559" spans="1:1" ht="15.75" customHeight="1" x14ac:dyDescent="0.25">
      <c r="A559" s="7"/>
    </row>
    <row r="560" spans="1:1" ht="15.75" customHeight="1" x14ac:dyDescent="0.25">
      <c r="A560" s="7"/>
    </row>
    <row r="561" spans="1:1" ht="15.75" customHeight="1" x14ac:dyDescent="0.25">
      <c r="A561" s="7"/>
    </row>
    <row r="562" spans="1:1" ht="15.75" customHeight="1" x14ac:dyDescent="0.25">
      <c r="A562" s="7"/>
    </row>
    <row r="563" spans="1:1" ht="15.75" customHeight="1" x14ac:dyDescent="0.25">
      <c r="A563" s="7"/>
    </row>
    <row r="564" spans="1:1" ht="15.75" customHeight="1" x14ac:dyDescent="0.25">
      <c r="A564" s="7"/>
    </row>
    <row r="565" spans="1:1" ht="15.75" customHeight="1" x14ac:dyDescent="0.25">
      <c r="A565" s="7"/>
    </row>
    <row r="566" spans="1:1" ht="15.75" customHeight="1" x14ac:dyDescent="0.25">
      <c r="A566" s="7"/>
    </row>
    <row r="567" spans="1:1" ht="15.75" customHeight="1" x14ac:dyDescent="0.25">
      <c r="A567" s="7"/>
    </row>
    <row r="568" spans="1:1" ht="15.75" customHeight="1" x14ac:dyDescent="0.25">
      <c r="A568" s="7"/>
    </row>
    <row r="569" spans="1:1" ht="15.75" customHeight="1" x14ac:dyDescent="0.25">
      <c r="A569" s="7"/>
    </row>
    <row r="570" spans="1:1" ht="15.75" customHeight="1" x14ac:dyDescent="0.25">
      <c r="A570" s="7"/>
    </row>
    <row r="571" spans="1:1" ht="15.75" customHeight="1" x14ac:dyDescent="0.25">
      <c r="A571" s="7"/>
    </row>
    <row r="572" spans="1:1" ht="15.75" customHeight="1" x14ac:dyDescent="0.25">
      <c r="A572" s="7"/>
    </row>
    <row r="573" spans="1:1" ht="15.75" customHeight="1" x14ac:dyDescent="0.25">
      <c r="A573" s="7"/>
    </row>
    <row r="574" spans="1:1" ht="15.75" customHeight="1" x14ac:dyDescent="0.25">
      <c r="A574" s="7"/>
    </row>
    <row r="575" spans="1:1" ht="15.75" customHeight="1" x14ac:dyDescent="0.25">
      <c r="A575" s="7"/>
    </row>
    <row r="576" spans="1:1" ht="15.75" customHeight="1" x14ac:dyDescent="0.25">
      <c r="A576" s="7"/>
    </row>
    <row r="577" spans="1:1" ht="15.75" customHeight="1" x14ac:dyDescent="0.25">
      <c r="A577" s="7"/>
    </row>
    <row r="578" spans="1:1" ht="15.75" customHeight="1" x14ac:dyDescent="0.25">
      <c r="A578" s="7"/>
    </row>
    <row r="579" spans="1:1" ht="15.75" customHeight="1" x14ac:dyDescent="0.25">
      <c r="A579" s="7"/>
    </row>
    <row r="580" spans="1:1" ht="15.75" customHeight="1" x14ac:dyDescent="0.25">
      <c r="A580" s="7"/>
    </row>
    <row r="581" spans="1:1" ht="15.75" customHeight="1" x14ac:dyDescent="0.25">
      <c r="A581" s="7"/>
    </row>
    <row r="582" spans="1:1" ht="15.75" customHeight="1" x14ac:dyDescent="0.25">
      <c r="A582" s="7"/>
    </row>
    <row r="583" spans="1:1" ht="15.75" customHeight="1" x14ac:dyDescent="0.25">
      <c r="A583" s="7"/>
    </row>
    <row r="584" spans="1:1" ht="15.75" customHeight="1" x14ac:dyDescent="0.25">
      <c r="A584" s="7"/>
    </row>
    <row r="585" spans="1:1" ht="15.75" customHeight="1" x14ac:dyDescent="0.25">
      <c r="A585" s="7"/>
    </row>
    <row r="586" spans="1:1" ht="15.75" customHeight="1" x14ac:dyDescent="0.25">
      <c r="A586" s="7"/>
    </row>
    <row r="587" spans="1:1" ht="15.75" customHeight="1" x14ac:dyDescent="0.25">
      <c r="A587" s="7"/>
    </row>
    <row r="588" spans="1:1" ht="15.75" customHeight="1" x14ac:dyDescent="0.25">
      <c r="A588" s="7"/>
    </row>
    <row r="589" spans="1:1" ht="15.75" customHeight="1" x14ac:dyDescent="0.25">
      <c r="A589" s="7"/>
    </row>
    <row r="590" spans="1:1" ht="15.75" customHeight="1" x14ac:dyDescent="0.25">
      <c r="A590" s="7"/>
    </row>
    <row r="591" spans="1:1" ht="15.75" customHeight="1" x14ac:dyDescent="0.25">
      <c r="A591" s="7"/>
    </row>
    <row r="592" spans="1:1" ht="15.75" customHeight="1" x14ac:dyDescent="0.25">
      <c r="A592" s="7"/>
    </row>
    <row r="593" spans="1:1" ht="15.75" customHeight="1" x14ac:dyDescent="0.25">
      <c r="A593" s="7"/>
    </row>
    <row r="594" spans="1:1" ht="15.75" customHeight="1" x14ac:dyDescent="0.25">
      <c r="A594" s="7"/>
    </row>
    <row r="595" spans="1:1" ht="15.75" customHeight="1" x14ac:dyDescent="0.25">
      <c r="A595" s="7"/>
    </row>
    <row r="596" spans="1:1" ht="15.75" customHeight="1" x14ac:dyDescent="0.25">
      <c r="A596" s="7"/>
    </row>
    <row r="597" spans="1:1" ht="15.75" customHeight="1" x14ac:dyDescent="0.25">
      <c r="A597" s="7"/>
    </row>
    <row r="598" spans="1:1" ht="15.75" customHeight="1" x14ac:dyDescent="0.25">
      <c r="A598" s="7"/>
    </row>
    <row r="599" spans="1:1" ht="15.75" customHeight="1" x14ac:dyDescent="0.25">
      <c r="A599" s="7"/>
    </row>
    <row r="600" spans="1:1" ht="15.75" customHeight="1" x14ac:dyDescent="0.25">
      <c r="A600" s="7"/>
    </row>
    <row r="601" spans="1:1" ht="15.75" customHeight="1" x14ac:dyDescent="0.25">
      <c r="A601" s="7"/>
    </row>
    <row r="602" spans="1:1" ht="15.75" customHeight="1" x14ac:dyDescent="0.25">
      <c r="A602" s="7"/>
    </row>
    <row r="603" spans="1:1" ht="15.75" customHeight="1" x14ac:dyDescent="0.25">
      <c r="A603" s="7"/>
    </row>
    <row r="604" spans="1:1" ht="15.75" customHeight="1" x14ac:dyDescent="0.25">
      <c r="A604" s="7"/>
    </row>
    <row r="605" spans="1:1" ht="15.75" customHeight="1" x14ac:dyDescent="0.25">
      <c r="A605" s="7"/>
    </row>
    <row r="606" spans="1:1" ht="15.75" customHeight="1" x14ac:dyDescent="0.25">
      <c r="A606" s="7"/>
    </row>
    <row r="607" spans="1:1" ht="15.75" customHeight="1" x14ac:dyDescent="0.25">
      <c r="A607" s="7"/>
    </row>
    <row r="608" spans="1:1" ht="15.75" customHeight="1" x14ac:dyDescent="0.25">
      <c r="A608" s="7"/>
    </row>
    <row r="609" spans="1:1" ht="15.75" customHeight="1" x14ac:dyDescent="0.25">
      <c r="A609" s="7"/>
    </row>
    <row r="610" spans="1:1" ht="15.75" customHeight="1" x14ac:dyDescent="0.25">
      <c r="A610" s="7"/>
    </row>
    <row r="611" spans="1:1" ht="15.75" customHeight="1" x14ac:dyDescent="0.25">
      <c r="A611" s="7"/>
    </row>
    <row r="612" spans="1:1" ht="15.75" customHeight="1" x14ac:dyDescent="0.25">
      <c r="A612" s="7"/>
    </row>
    <row r="613" spans="1:1" ht="15.75" customHeight="1" x14ac:dyDescent="0.25">
      <c r="A613" s="7"/>
    </row>
    <row r="614" spans="1:1" ht="15.75" customHeight="1" x14ac:dyDescent="0.25">
      <c r="A614" s="7"/>
    </row>
    <row r="615" spans="1:1" ht="15.75" customHeight="1" x14ac:dyDescent="0.25">
      <c r="A615" s="7"/>
    </row>
    <row r="616" spans="1:1" ht="15.75" customHeight="1" x14ac:dyDescent="0.25">
      <c r="A616" s="7"/>
    </row>
    <row r="617" spans="1:1" ht="15.75" customHeight="1" x14ac:dyDescent="0.25">
      <c r="A617" s="7"/>
    </row>
    <row r="618" spans="1:1" ht="15.75" customHeight="1" x14ac:dyDescent="0.25">
      <c r="A618" s="7"/>
    </row>
    <row r="619" spans="1:1" ht="15.75" customHeight="1" x14ac:dyDescent="0.25">
      <c r="A619" s="7"/>
    </row>
    <row r="620" spans="1:1" ht="15.75" customHeight="1" x14ac:dyDescent="0.25">
      <c r="A620" s="7"/>
    </row>
    <row r="621" spans="1:1" ht="15.75" customHeight="1" x14ac:dyDescent="0.25">
      <c r="A621" s="7"/>
    </row>
    <row r="622" spans="1:1" ht="15.75" customHeight="1" x14ac:dyDescent="0.25">
      <c r="A622" s="7"/>
    </row>
    <row r="623" spans="1:1" ht="15.75" customHeight="1" x14ac:dyDescent="0.25">
      <c r="A623" s="7"/>
    </row>
    <row r="624" spans="1:1" ht="15.75" customHeight="1" x14ac:dyDescent="0.25">
      <c r="A624" s="7"/>
    </row>
    <row r="625" spans="1:1" ht="15.75" customHeight="1" x14ac:dyDescent="0.25">
      <c r="A625" s="7"/>
    </row>
    <row r="626" spans="1:1" ht="15.75" customHeight="1" x14ac:dyDescent="0.25">
      <c r="A626" s="7"/>
    </row>
    <row r="627" spans="1:1" ht="15.75" customHeight="1" x14ac:dyDescent="0.25">
      <c r="A627" s="7"/>
    </row>
    <row r="628" spans="1:1" ht="15.75" customHeight="1" x14ac:dyDescent="0.25">
      <c r="A628" s="7"/>
    </row>
    <row r="629" spans="1:1" ht="15.75" customHeight="1" x14ac:dyDescent="0.25">
      <c r="A629" s="7"/>
    </row>
    <row r="630" spans="1:1" ht="15.75" customHeight="1" x14ac:dyDescent="0.25">
      <c r="A630" s="7"/>
    </row>
    <row r="631" spans="1:1" ht="15.75" customHeight="1" x14ac:dyDescent="0.25">
      <c r="A631" s="7"/>
    </row>
    <row r="632" spans="1:1" ht="15.75" customHeight="1" x14ac:dyDescent="0.25">
      <c r="A632" s="7"/>
    </row>
    <row r="633" spans="1:1" ht="15.75" customHeight="1" x14ac:dyDescent="0.25">
      <c r="A633" s="7"/>
    </row>
    <row r="634" spans="1:1" ht="15.75" customHeight="1" x14ac:dyDescent="0.25">
      <c r="A634" s="7"/>
    </row>
    <row r="635" spans="1:1" ht="15.75" customHeight="1" x14ac:dyDescent="0.25">
      <c r="A635" s="7"/>
    </row>
    <row r="636" spans="1:1" ht="15.75" customHeight="1" x14ac:dyDescent="0.25">
      <c r="A636" s="7"/>
    </row>
    <row r="637" spans="1:1" ht="15.75" customHeight="1" x14ac:dyDescent="0.25">
      <c r="A637" s="7"/>
    </row>
    <row r="638" spans="1:1" ht="15.75" customHeight="1" x14ac:dyDescent="0.25">
      <c r="A638" s="7"/>
    </row>
    <row r="639" spans="1:1" ht="15.75" customHeight="1" x14ac:dyDescent="0.25">
      <c r="A639" s="7"/>
    </row>
    <row r="640" spans="1:1" ht="15.75" customHeight="1" x14ac:dyDescent="0.25">
      <c r="A640" s="7"/>
    </row>
    <row r="641" spans="1:1" ht="15.75" customHeight="1" x14ac:dyDescent="0.25">
      <c r="A641" s="7"/>
    </row>
    <row r="642" spans="1:1" ht="15.75" customHeight="1" x14ac:dyDescent="0.25">
      <c r="A642" s="7"/>
    </row>
    <row r="643" spans="1:1" ht="15.75" customHeight="1" x14ac:dyDescent="0.25">
      <c r="A643" s="7"/>
    </row>
    <row r="644" spans="1:1" ht="15.75" customHeight="1" x14ac:dyDescent="0.25">
      <c r="A644" s="7"/>
    </row>
    <row r="645" spans="1:1" ht="15.75" customHeight="1" x14ac:dyDescent="0.25">
      <c r="A645" s="7"/>
    </row>
    <row r="646" spans="1:1" ht="15.75" customHeight="1" x14ac:dyDescent="0.25">
      <c r="A646" s="7"/>
    </row>
    <row r="647" spans="1:1" ht="15.75" customHeight="1" x14ac:dyDescent="0.25">
      <c r="A647" s="7"/>
    </row>
    <row r="648" spans="1:1" ht="15.75" customHeight="1" x14ac:dyDescent="0.25">
      <c r="A648" s="7"/>
    </row>
    <row r="649" spans="1:1" ht="15.75" customHeight="1" x14ac:dyDescent="0.25">
      <c r="A649" s="7"/>
    </row>
    <row r="650" spans="1:1" ht="15.75" customHeight="1" x14ac:dyDescent="0.25">
      <c r="A650" s="7"/>
    </row>
    <row r="651" spans="1:1" ht="15.75" customHeight="1" x14ac:dyDescent="0.25">
      <c r="A651" s="7"/>
    </row>
    <row r="652" spans="1:1" ht="15.75" customHeight="1" x14ac:dyDescent="0.25">
      <c r="A652" s="7"/>
    </row>
    <row r="653" spans="1:1" ht="15.75" customHeight="1" x14ac:dyDescent="0.25">
      <c r="A653" s="7"/>
    </row>
    <row r="654" spans="1:1" ht="15.75" customHeight="1" x14ac:dyDescent="0.25">
      <c r="A654" s="7"/>
    </row>
    <row r="655" spans="1:1" ht="15.75" customHeight="1" x14ac:dyDescent="0.25">
      <c r="A655" s="7"/>
    </row>
    <row r="656" spans="1:1" ht="15.75" customHeight="1" x14ac:dyDescent="0.25">
      <c r="A656" s="7"/>
    </row>
    <row r="657" spans="1:1" ht="15.75" customHeight="1" x14ac:dyDescent="0.25">
      <c r="A657" s="7"/>
    </row>
    <row r="658" spans="1:1" ht="15.75" customHeight="1" x14ac:dyDescent="0.25">
      <c r="A658" s="7"/>
    </row>
    <row r="659" spans="1:1" ht="15.75" customHeight="1" x14ac:dyDescent="0.25">
      <c r="A659" s="7"/>
    </row>
    <row r="660" spans="1:1" ht="15.75" customHeight="1" x14ac:dyDescent="0.25">
      <c r="A660" s="7"/>
    </row>
    <row r="661" spans="1:1" ht="15.75" customHeight="1" x14ac:dyDescent="0.25">
      <c r="A661" s="7"/>
    </row>
    <row r="662" spans="1:1" ht="15.75" customHeight="1" x14ac:dyDescent="0.25">
      <c r="A662" s="7"/>
    </row>
    <row r="663" spans="1:1" ht="15.75" customHeight="1" x14ac:dyDescent="0.25">
      <c r="A663" s="7"/>
    </row>
    <row r="664" spans="1:1" ht="15.75" customHeight="1" x14ac:dyDescent="0.25">
      <c r="A664" s="7"/>
    </row>
    <row r="665" spans="1:1" ht="15.75" customHeight="1" x14ac:dyDescent="0.25">
      <c r="A665" s="7"/>
    </row>
    <row r="666" spans="1:1" ht="15.75" customHeight="1" x14ac:dyDescent="0.25">
      <c r="A666" s="7"/>
    </row>
    <row r="667" spans="1:1" ht="15.75" customHeight="1" x14ac:dyDescent="0.25">
      <c r="A667" s="7"/>
    </row>
    <row r="668" spans="1:1" ht="15.75" customHeight="1" x14ac:dyDescent="0.25">
      <c r="A668" s="7"/>
    </row>
    <row r="669" spans="1:1" ht="15.75" customHeight="1" x14ac:dyDescent="0.25">
      <c r="A669" s="7"/>
    </row>
    <row r="670" spans="1:1" ht="15.75" customHeight="1" x14ac:dyDescent="0.25">
      <c r="A670" s="7"/>
    </row>
    <row r="671" spans="1:1" ht="15.75" customHeight="1" x14ac:dyDescent="0.25">
      <c r="A671" s="7"/>
    </row>
    <row r="672" spans="1:1" ht="15.75" customHeight="1" x14ac:dyDescent="0.25">
      <c r="A672" s="7"/>
    </row>
    <row r="673" spans="1:1" ht="15.75" customHeight="1" x14ac:dyDescent="0.25">
      <c r="A673" s="7"/>
    </row>
    <row r="674" spans="1:1" ht="15.75" customHeight="1" x14ac:dyDescent="0.25">
      <c r="A674" s="7"/>
    </row>
    <row r="675" spans="1:1" ht="15.75" customHeight="1" x14ac:dyDescent="0.25">
      <c r="A675" s="7"/>
    </row>
    <row r="676" spans="1:1" ht="15.75" customHeight="1" x14ac:dyDescent="0.25">
      <c r="A676" s="7"/>
    </row>
    <row r="677" spans="1:1" ht="15.75" customHeight="1" x14ac:dyDescent="0.25">
      <c r="A677" s="7"/>
    </row>
    <row r="678" spans="1:1" ht="15.75" customHeight="1" x14ac:dyDescent="0.25">
      <c r="A678" s="7"/>
    </row>
    <row r="679" spans="1:1" ht="15.75" customHeight="1" x14ac:dyDescent="0.25">
      <c r="A679" s="7"/>
    </row>
    <row r="680" spans="1:1" ht="15.75" customHeight="1" x14ac:dyDescent="0.25">
      <c r="A680" s="7"/>
    </row>
    <row r="681" spans="1:1" ht="15.75" customHeight="1" x14ac:dyDescent="0.25">
      <c r="A681" s="7"/>
    </row>
    <row r="682" spans="1:1" ht="15.75" customHeight="1" x14ac:dyDescent="0.25">
      <c r="A682" s="7"/>
    </row>
    <row r="683" spans="1:1" ht="15.75" customHeight="1" x14ac:dyDescent="0.25">
      <c r="A683" s="7"/>
    </row>
    <row r="684" spans="1:1" ht="15.75" customHeight="1" x14ac:dyDescent="0.25">
      <c r="A684" s="7"/>
    </row>
    <row r="685" spans="1:1" ht="15.75" customHeight="1" x14ac:dyDescent="0.25">
      <c r="A685" s="7"/>
    </row>
    <row r="686" spans="1:1" ht="15.75" customHeight="1" x14ac:dyDescent="0.25">
      <c r="A686" s="7"/>
    </row>
    <row r="687" spans="1:1" ht="15.75" customHeight="1" x14ac:dyDescent="0.25">
      <c r="A687" s="7"/>
    </row>
    <row r="688" spans="1:1" ht="15.75" customHeight="1" x14ac:dyDescent="0.25">
      <c r="A688" s="7"/>
    </row>
    <row r="689" spans="1:1" ht="15.75" customHeight="1" x14ac:dyDescent="0.25">
      <c r="A689" s="7"/>
    </row>
    <row r="690" spans="1:1" ht="15.75" customHeight="1" x14ac:dyDescent="0.25">
      <c r="A690" s="7"/>
    </row>
    <row r="691" spans="1:1" ht="15.75" customHeight="1" x14ac:dyDescent="0.25">
      <c r="A691" s="7"/>
    </row>
    <row r="692" spans="1:1" ht="15.75" customHeight="1" x14ac:dyDescent="0.25">
      <c r="A692" s="7"/>
    </row>
    <row r="693" spans="1:1" ht="15.75" customHeight="1" x14ac:dyDescent="0.25">
      <c r="A693" s="7"/>
    </row>
    <row r="694" spans="1:1" ht="15.75" customHeight="1" x14ac:dyDescent="0.25">
      <c r="A694" s="7"/>
    </row>
    <row r="695" spans="1:1" ht="15.75" customHeight="1" x14ac:dyDescent="0.25">
      <c r="A695" s="7"/>
    </row>
    <row r="696" spans="1:1" ht="15.75" customHeight="1" x14ac:dyDescent="0.25">
      <c r="A696" s="7"/>
    </row>
    <row r="697" spans="1:1" ht="15.75" customHeight="1" x14ac:dyDescent="0.25">
      <c r="A697" s="7"/>
    </row>
    <row r="698" spans="1:1" ht="15.75" customHeight="1" x14ac:dyDescent="0.25">
      <c r="A698" s="7"/>
    </row>
    <row r="699" spans="1:1" ht="15.75" customHeight="1" x14ac:dyDescent="0.25">
      <c r="A699" s="7"/>
    </row>
    <row r="700" spans="1:1" ht="15.75" customHeight="1" x14ac:dyDescent="0.25">
      <c r="A700" s="7"/>
    </row>
    <row r="701" spans="1:1" ht="15.75" customHeight="1" x14ac:dyDescent="0.25">
      <c r="A701" s="7"/>
    </row>
    <row r="702" spans="1:1" ht="15.75" customHeight="1" x14ac:dyDescent="0.25">
      <c r="A702" s="7"/>
    </row>
    <row r="703" spans="1:1" ht="15.75" customHeight="1" x14ac:dyDescent="0.25">
      <c r="A703" s="7"/>
    </row>
    <row r="704" spans="1:1" ht="15.75" customHeight="1" x14ac:dyDescent="0.25">
      <c r="A704" s="7"/>
    </row>
    <row r="705" spans="1:1" ht="15.75" customHeight="1" x14ac:dyDescent="0.25">
      <c r="A705" s="7"/>
    </row>
    <row r="706" spans="1:1" ht="15.75" customHeight="1" x14ac:dyDescent="0.25">
      <c r="A706" s="7"/>
    </row>
    <row r="707" spans="1:1" ht="15.75" customHeight="1" x14ac:dyDescent="0.25">
      <c r="A707" s="7"/>
    </row>
    <row r="708" spans="1:1" ht="15.75" customHeight="1" x14ac:dyDescent="0.25">
      <c r="A708" s="7"/>
    </row>
    <row r="709" spans="1:1" ht="15.75" customHeight="1" x14ac:dyDescent="0.25">
      <c r="A709" s="7"/>
    </row>
    <row r="710" spans="1:1" ht="15.75" customHeight="1" x14ac:dyDescent="0.25">
      <c r="A710" s="7"/>
    </row>
    <row r="711" spans="1:1" ht="15.75" customHeight="1" x14ac:dyDescent="0.25">
      <c r="A711" s="7"/>
    </row>
    <row r="712" spans="1:1" ht="15.75" customHeight="1" x14ac:dyDescent="0.25">
      <c r="A712" s="7"/>
    </row>
    <row r="713" spans="1:1" ht="15.75" customHeight="1" x14ac:dyDescent="0.25">
      <c r="A713" s="7"/>
    </row>
    <row r="714" spans="1:1" ht="15.75" customHeight="1" x14ac:dyDescent="0.25">
      <c r="A714" s="7"/>
    </row>
    <row r="715" spans="1:1" ht="15.75" customHeight="1" x14ac:dyDescent="0.25">
      <c r="A715" s="7"/>
    </row>
    <row r="716" spans="1:1" ht="15.75" customHeight="1" x14ac:dyDescent="0.25">
      <c r="A716" s="7"/>
    </row>
    <row r="717" spans="1:1" ht="15.75" customHeight="1" x14ac:dyDescent="0.25">
      <c r="A717" s="7"/>
    </row>
    <row r="718" spans="1:1" ht="15.75" customHeight="1" x14ac:dyDescent="0.25">
      <c r="A718" s="7"/>
    </row>
    <row r="719" spans="1:1" ht="15.75" customHeight="1" x14ac:dyDescent="0.25">
      <c r="A719" s="7"/>
    </row>
    <row r="720" spans="1:1" ht="15.75" customHeight="1" x14ac:dyDescent="0.25">
      <c r="A720" s="7"/>
    </row>
    <row r="721" spans="1:1" ht="15.75" customHeight="1" x14ac:dyDescent="0.25">
      <c r="A721" s="7"/>
    </row>
    <row r="722" spans="1:1" ht="15.75" customHeight="1" x14ac:dyDescent="0.25">
      <c r="A722" s="7"/>
    </row>
    <row r="723" spans="1:1" ht="15.75" customHeight="1" x14ac:dyDescent="0.25">
      <c r="A723" s="7"/>
    </row>
    <row r="724" spans="1:1" ht="15.75" customHeight="1" x14ac:dyDescent="0.25">
      <c r="A724" s="7"/>
    </row>
    <row r="725" spans="1:1" ht="15.75" customHeight="1" x14ac:dyDescent="0.25">
      <c r="A725" s="7"/>
    </row>
    <row r="726" spans="1:1" ht="15.75" customHeight="1" x14ac:dyDescent="0.25">
      <c r="A726" s="7"/>
    </row>
    <row r="727" spans="1:1" ht="15.75" customHeight="1" x14ac:dyDescent="0.25">
      <c r="A727" s="7"/>
    </row>
    <row r="728" spans="1:1" ht="15.75" customHeight="1" x14ac:dyDescent="0.25">
      <c r="A728" s="7"/>
    </row>
    <row r="729" spans="1:1" ht="15.75" customHeight="1" x14ac:dyDescent="0.25">
      <c r="A729" s="7"/>
    </row>
    <row r="730" spans="1:1" ht="15.75" customHeight="1" x14ac:dyDescent="0.25">
      <c r="A730" s="7"/>
    </row>
    <row r="731" spans="1:1" ht="15.75" customHeight="1" x14ac:dyDescent="0.25">
      <c r="A731" s="7"/>
    </row>
    <row r="732" spans="1:1" ht="15.75" customHeight="1" x14ac:dyDescent="0.25">
      <c r="A732" s="7"/>
    </row>
    <row r="733" spans="1:1" ht="15.75" customHeight="1" x14ac:dyDescent="0.25">
      <c r="A733" s="7"/>
    </row>
    <row r="734" spans="1:1" ht="15.75" customHeight="1" x14ac:dyDescent="0.25">
      <c r="A734" s="7"/>
    </row>
    <row r="735" spans="1:1" ht="15.75" customHeight="1" x14ac:dyDescent="0.25">
      <c r="A735" s="7"/>
    </row>
    <row r="736" spans="1:1" ht="15.75" customHeight="1" x14ac:dyDescent="0.25">
      <c r="A736" s="7"/>
    </row>
    <row r="737" spans="1:1" ht="15.75" customHeight="1" x14ac:dyDescent="0.25">
      <c r="A737" s="7"/>
    </row>
    <row r="738" spans="1:1" ht="15.75" customHeight="1" x14ac:dyDescent="0.25">
      <c r="A738" s="7"/>
    </row>
    <row r="739" spans="1:1" ht="15.75" customHeight="1" x14ac:dyDescent="0.25">
      <c r="A739" s="7"/>
    </row>
    <row r="740" spans="1:1" ht="15.75" customHeight="1" x14ac:dyDescent="0.25">
      <c r="A740" s="7"/>
    </row>
    <row r="741" spans="1:1" ht="15.75" customHeight="1" x14ac:dyDescent="0.25">
      <c r="A741" s="7"/>
    </row>
    <row r="742" spans="1:1" ht="15.75" customHeight="1" x14ac:dyDescent="0.25">
      <c r="A742" s="7"/>
    </row>
    <row r="743" spans="1:1" ht="15.75" customHeight="1" x14ac:dyDescent="0.25">
      <c r="A743" s="7"/>
    </row>
    <row r="744" spans="1:1" ht="15.75" customHeight="1" x14ac:dyDescent="0.25">
      <c r="A744" s="7"/>
    </row>
    <row r="745" spans="1:1" ht="15.75" customHeight="1" x14ac:dyDescent="0.25">
      <c r="A745" s="7"/>
    </row>
    <row r="746" spans="1:1" ht="15.75" customHeight="1" x14ac:dyDescent="0.25">
      <c r="A746" s="7"/>
    </row>
    <row r="747" spans="1:1" ht="15.75" customHeight="1" x14ac:dyDescent="0.25">
      <c r="A747" s="7"/>
    </row>
    <row r="748" spans="1:1" ht="15.75" customHeight="1" x14ac:dyDescent="0.25">
      <c r="A748" s="7"/>
    </row>
    <row r="749" spans="1:1" ht="15.75" customHeight="1" x14ac:dyDescent="0.25">
      <c r="A749" s="7"/>
    </row>
    <row r="750" spans="1:1" ht="15.75" customHeight="1" x14ac:dyDescent="0.25">
      <c r="A750" s="7"/>
    </row>
    <row r="751" spans="1:1" ht="15.75" customHeight="1" x14ac:dyDescent="0.25">
      <c r="A751" s="7"/>
    </row>
    <row r="752" spans="1:1" ht="15.75" customHeight="1" x14ac:dyDescent="0.25">
      <c r="A752" s="7"/>
    </row>
    <row r="753" spans="1:1" ht="15.75" customHeight="1" x14ac:dyDescent="0.25">
      <c r="A753" s="7"/>
    </row>
    <row r="754" spans="1:1" ht="15.75" customHeight="1" x14ac:dyDescent="0.25">
      <c r="A754" s="7"/>
    </row>
    <row r="755" spans="1:1" ht="15.75" customHeight="1" x14ac:dyDescent="0.25">
      <c r="A755" s="7"/>
    </row>
    <row r="756" spans="1:1" ht="15.75" customHeight="1" x14ac:dyDescent="0.25">
      <c r="A756" s="7"/>
    </row>
    <row r="757" spans="1:1" ht="15.75" customHeight="1" x14ac:dyDescent="0.25">
      <c r="A757" s="7"/>
    </row>
    <row r="758" spans="1:1" ht="15.75" customHeight="1" x14ac:dyDescent="0.25">
      <c r="A758" s="7"/>
    </row>
    <row r="759" spans="1:1" ht="15.75" customHeight="1" x14ac:dyDescent="0.25">
      <c r="A759" s="7"/>
    </row>
    <row r="760" spans="1:1" ht="15.75" customHeight="1" x14ac:dyDescent="0.25">
      <c r="A760" s="7"/>
    </row>
    <row r="761" spans="1:1" ht="15.75" customHeight="1" x14ac:dyDescent="0.25">
      <c r="A761" s="7"/>
    </row>
    <row r="762" spans="1:1" ht="15.75" customHeight="1" x14ac:dyDescent="0.25">
      <c r="A762" s="7"/>
    </row>
    <row r="763" spans="1:1" ht="15.75" customHeight="1" x14ac:dyDescent="0.25">
      <c r="A763" s="7"/>
    </row>
    <row r="764" spans="1:1" ht="15.75" customHeight="1" x14ac:dyDescent="0.25">
      <c r="A764" s="7"/>
    </row>
    <row r="765" spans="1:1" ht="15.75" customHeight="1" x14ac:dyDescent="0.25">
      <c r="A765" s="7"/>
    </row>
    <row r="766" spans="1:1" ht="15.75" customHeight="1" x14ac:dyDescent="0.25">
      <c r="A766" s="7"/>
    </row>
    <row r="767" spans="1:1" ht="15.75" customHeight="1" x14ac:dyDescent="0.25">
      <c r="A767" s="7"/>
    </row>
    <row r="768" spans="1:1" ht="15.75" customHeight="1" x14ac:dyDescent="0.25">
      <c r="A768" s="7"/>
    </row>
    <row r="769" spans="1:1" ht="15.75" customHeight="1" x14ac:dyDescent="0.25">
      <c r="A769" s="7"/>
    </row>
    <row r="770" spans="1:1" ht="15.75" customHeight="1" x14ac:dyDescent="0.25">
      <c r="A770" s="7"/>
    </row>
    <row r="771" spans="1:1" ht="15.75" customHeight="1" x14ac:dyDescent="0.25">
      <c r="A771" s="7"/>
    </row>
    <row r="772" spans="1:1" ht="15.75" customHeight="1" x14ac:dyDescent="0.25">
      <c r="A772" s="7"/>
    </row>
    <row r="773" spans="1:1" ht="15.75" customHeight="1" x14ac:dyDescent="0.25">
      <c r="A773" s="7"/>
    </row>
    <row r="774" spans="1:1" ht="15.75" customHeight="1" x14ac:dyDescent="0.25">
      <c r="A774" s="7"/>
    </row>
    <row r="775" spans="1:1" ht="15.75" customHeight="1" x14ac:dyDescent="0.25">
      <c r="A775" s="7"/>
    </row>
    <row r="776" spans="1:1" ht="15.75" customHeight="1" x14ac:dyDescent="0.25">
      <c r="A776" s="7"/>
    </row>
    <row r="777" spans="1:1" ht="15.75" customHeight="1" x14ac:dyDescent="0.25">
      <c r="A777" s="7"/>
    </row>
    <row r="778" spans="1:1" ht="15.75" customHeight="1" x14ac:dyDescent="0.25">
      <c r="A778" s="7"/>
    </row>
    <row r="779" spans="1:1" ht="15.75" customHeight="1" x14ac:dyDescent="0.25">
      <c r="A779" s="7"/>
    </row>
    <row r="780" spans="1:1" ht="15.75" customHeight="1" x14ac:dyDescent="0.25">
      <c r="A780" s="7"/>
    </row>
    <row r="781" spans="1:1" ht="15.75" customHeight="1" x14ac:dyDescent="0.25">
      <c r="A781" s="7"/>
    </row>
    <row r="782" spans="1:1" ht="15.75" customHeight="1" x14ac:dyDescent="0.25">
      <c r="A782" s="7"/>
    </row>
    <row r="783" spans="1:1" ht="15.75" customHeight="1" x14ac:dyDescent="0.25">
      <c r="A783" s="7"/>
    </row>
    <row r="784" spans="1:1" ht="15.75" customHeight="1" x14ac:dyDescent="0.25">
      <c r="A784" s="7"/>
    </row>
    <row r="785" spans="1:1" ht="15.75" customHeight="1" x14ac:dyDescent="0.25">
      <c r="A785" s="7"/>
    </row>
    <row r="786" spans="1:1" ht="15.75" customHeight="1" x14ac:dyDescent="0.25">
      <c r="A786" s="7"/>
    </row>
    <row r="787" spans="1:1" ht="15.75" customHeight="1" x14ac:dyDescent="0.25">
      <c r="A787" s="7"/>
    </row>
    <row r="788" spans="1:1" ht="15.75" customHeight="1" x14ac:dyDescent="0.25">
      <c r="A788" s="7"/>
    </row>
    <row r="789" spans="1:1" ht="15.75" customHeight="1" x14ac:dyDescent="0.25">
      <c r="A789" s="7"/>
    </row>
    <row r="790" spans="1:1" ht="15.75" customHeight="1" x14ac:dyDescent="0.25">
      <c r="A790" s="7"/>
    </row>
    <row r="791" spans="1:1" ht="15.75" customHeight="1" x14ac:dyDescent="0.25">
      <c r="A791" s="7"/>
    </row>
    <row r="792" spans="1:1" ht="15.75" customHeight="1" x14ac:dyDescent="0.25">
      <c r="A792" s="7"/>
    </row>
    <row r="793" spans="1:1" ht="15.75" customHeight="1" x14ac:dyDescent="0.25">
      <c r="A793" s="7"/>
    </row>
    <row r="794" spans="1:1" ht="15.75" customHeight="1" x14ac:dyDescent="0.25">
      <c r="A794" s="7"/>
    </row>
    <row r="795" spans="1:1" ht="15.75" customHeight="1" x14ac:dyDescent="0.25">
      <c r="A795" s="7"/>
    </row>
    <row r="796" spans="1:1" ht="15.75" customHeight="1" x14ac:dyDescent="0.25">
      <c r="A796" s="7"/>
    </row>
    <row r="797" spans="1:1" ht="15.75" customHeight="1" x14ac:dyDescent="0.25">
      <c r="A797" s="7"/>
    </row>
    <row r="798" spans="1:1" ht="15.75" customHeight="1" x14ac:dyDescent="0.25">
      <c r="A798" s="7"/>
    </row>
    <row r="799" spans="1:1" ht="15.75" customHeight="1" x14ac:dyDescent="0.25">
      <c r="A799" s="7"/>
    </row>
    <row r="800" spans="1:1" ht="15.75" customHeight="1" x14ac:dyDescent="0.25">
      <c r="A800" s="7"/>
    </row>
    <row r="801" spans="1:1" ht="15.75" customHeight="1" x14ac:dyDescent="0.25">
      <c r="A801" s="7"/>
    </row>
    <row r="802" spans="1:1" ht="15.75" customHeight="1" x14ac:dyDescent="0.25">
      <c r="A802" s="7"/>
    </row>
    <row r="803" spans="1:1" ht="15.75" customHeight="1" x14ac:dyDescent="0.25">
      <c r="A803" s="7"/>
    </row>
    <row r="804" spans="1:1" ht="15.75" customHeight="1" x14ac:dyDescent="0.25">
      <c r="A804" s="7"/>
    </row>
    <row r="805" spans="1:1" ht="15.75" customHeight="1" x14ac:dyDescent="0.25">
      <c r="A805" s="7"/>
    </row>
    <row r="806" spans="1:1" ht="15.75" customHeight="1" x14ac:dyDescent="0.25">
      <c r="A806" s="7"/>
    </row>
    <row r="807" spans="1:1" ht="15.75" customHeight="1" x14ac:dyDescent="0.25">
      <c r="A807" s="7"/>
    </row>
    <row r="808" spans="1:1" ht="15.75" customHeight="1" x14ac:dyDescent="0.25">
      <c r="A808" s="7"/>
    </row>
    <row r="809" spans="1:1" ht="15.75" customHeight="1" x14ac:dyDescent="0.25">
      <c r="A809" s="7"/>
    </row>
    <row r="810" spans="1:1" ht="15.75" customHeight="1" x14ac:dyDescent="0.25">
      <c r="A810" s="7"/>
    </row>
    <row r="811" spans="1:1" ht="15.75" customHeight="1" x14ac:dyDescent="0.25">
      <c r="A811" s="7"/>
    </row>
    <row r="812" spans="1:1" ht="15.75" customHeight="1" x14ac:dyDescent="0.25">
      <c r="A812" s="7"/>
    </row>
    <row r="813" spans="1:1" ht="15.75" customHeight="1" x14ac:dyDescent="0.25">
      <c r="A813" s="7"/>
    </row>
    <row r="814" spans="1:1" ht="15.75" customHeight="1" x14ac:dyDescent="0.25">
      <c r="A814" s="7"/>
    </row>
    <row r="815" spans="1:1" ht="15.75" customHeight="1" x14ac:dyDescent="0.25">
      <c r="A815" s="7"/>
    </row>
    <row r="816" spans="1:1" ht="15.75" customHeight="1" x14ac:dyDescent="0.25">
      <c r="A816" s="7"/>
    </row>
    <row r="817" spans="1:1" ht="15.75" customHeight="1" x14ac:dyDescent="0.25">
      <c r="A817" s="7"/>
    </row>
    <row r="818" spans="1:1" ht="15.75" customHeight="1" x14ac:dyDescent="0.25">
      <c r="A818" s="7"/>
    </row>
    <row r="819" spans="1:1" ht="15.75" customHeight="1" x14ac:dyDescent="0.25">
      <c r="A819" s="7"/>
    </row>
    <row r="820" spans="1:1" ht="15.75" customHeight="1" x14ac:dyDescent="0.25">
      <c r="A820" s="7"/>
    </row>
    <row r="821" spans="1:1" ht="15.75" customHeight="1" x14ac:dyDescent="0.25">
      <c r="A821" s="7"/>
    </row>
    <row r="822" spans="1:1" ht="15.75" customHeight="1" x14ac:dyDescent="0.25">
      <c r="A822" s="7"/>
    </row>
    <row r="823" spans="1:1" ht="15.75" customHeight="1" x14ac:dyDescent="0.25">
      <c r="A823" s="7"/>
    </row>
    <row r="824" spans="1:1" ht="15.75" customHeight="1" x14ac:dyDescent="0.25">
      <c r="A824" s="7"/>
    </row>
    <row r="825" spans="1:1" ht="15.75" customHeight="1" x14ac:dyDescent="0.25">
      <c r="A825" s="7"/>
    </row>
    <row r="826" spans="1:1" ht="15.75" customHeight="1" x14ac:dyDescent="0.25">
      <c r="A826" s="7"/>
    </row>
    <row r="827" spans="1:1" ht="15.75" customHeight="1" x14ac:dyDescent="0.25">
      <c r="A827" s="7"/>
    </row>
    <row r="828" spans="1:1" ht="15.75" customHeight="1" x14ac:dyDescent="0.25">
      <c r="A828" s="7"/>
    </row>
    <row r="829" spans="1:1" ht="15.75" customHeight="1" x14ac:dyDescent="0.25">
      <c r="A829" s="7"/>
    </row>
    <row r="830" spans="1:1" ht="15.75" customHeight="1" x14ac:dyDescent="0.25">
      <c r="A830" s="7"/>
    </row>
    <row r="831" spans="1:1" ht="15.75" customHeight="1" x14ac:dyDescent="0.25">
      <c r="A831" s="7"/>
    </row>
    <row r="832" spans="1:1" ht="15.75" customHeight="1" x14ac:dyDescent="0.25">
      <c r="A832" s="7"/>
    </row>
    <row r="833" spans="1:1" ht="15.75" customHeight="1" x14ac:dyDescent="0.25">
      <c r="A833" s="7"/>
    </row>
    <row r="834" spans="1:1" ht="15.75" customHeight="1" x14ac:dyDescent="0.25">
      <c r="A834" s="7"/>
    </row>
    <row r="835" spans="1:1" ht="15.75" customHeight="1" x14ac:dyDescent="0.25">
      <c r="A835" s="7"/>
    </row>
    <row r="836" spans="1:1" ht="15.75" customHeight="1" x14ac:dyDescent="0.25">
      <c r="A836" s="7"/>
    </row>
    <row r="837" spans="1:1" ht="15.75" customHeight="1" x14ac:dyDescent="0.25">
      <c r="A837" s="7"/>
    </row>
    <row r="838" spans="1:1" ht="15.75" customHeight="1" x14ac:dyDescent="0.25">
      <c r="A838" s="7"/>
    </row>
    <row r="839" spans="1:1" ht="15.75" customHeight="1" x14ac:dyDescent="0.25">
      <c r="A839" s="7"/>
    </row>
    <row r="840" spans="1:1" ht="15.75" customHeight="1" x14ac:dyDescent="0.25">
      <c r="A840" s="7"/>
    </row>
    <row r="841" spans="1:1" ht="15.75" customHeight="1" x14ac:dyDescent="0.25">
      <c r="A841" s="7"/>
    </row>
    <row r="842" spans="1:1" ht="15.75" customHeight="1" x14ac:dyDescent="0.25">
      <c r="A842" s="7"/>
    </row>
    <row r="843" spans="1:1" ht="15.75" customHeight="1" x14ac:dyDescent="0.25">
      <c r="A843" s="7"/>
    </row>
    <row r="844" spans="1:1" ht="15.75" customHeight="1" x14ac:dyDescent="0.25">
      <c r="A844" s="7"/>
    </row>
    <row r="845" spans="1:1" ht="15.75" customHeight="1" x14ac:dyDescent="0.25">
      <c r="A845" s="7"/>
    </row>
    <row r="846" spans="1:1" ht="15.75" customHeight="1" x14ac:dyDescent="0.25">
      <c r="A846" s="7"/>
    </row>
    <row r="847" spans="1:1" ht="15.75" customHeight="1" x14ac:dyDescent="0.25">
      <c r="A847" s="7"/>
    </row>
    <row r="848" spans="1:1" ht="15.75" customHeight="1" x14ac:dyDescent="0.25">
      <c r="A848" s="7"/>
    </row>
    <row r="849" spans="1:1" ht="15.75" customHeight="1" x14ac:dyDescent="0.25">
      <c r="A849" s="7"/>
    </row>
    <row r="850" spans="1:1" ht="15.75" customHeight="1" x14ac:dyDescent="0.25">
      <c r="A850" s="7"/>
    </row>
    <row r="851" spans="1:1" ht="15.75" customHeight="1" x14ac:dyDescent="0.25">
      <c r="A851" s="7"/>
    </row>
    <row r="852" spans="1:1" ht="15.75" customHeight="1" x14ac:dyDescent="0.25">
      <c r="A852" s="7"/>
    </row>
    <row r="853" spans="1:1" ht="15.75" customHeight="1" x14ac:dyDescent="0.25">
      <c r="A853" s="7"/>
    </row>
    <row r="854" spans="1:1" ht="15.75" customHeight="1" x14ac:dyDescent="0.25">
      <c r="A854" s="7"/>
    </row>
    <row r="855" spans="1:1" ht="15.75" customHeight="1" x14ac:dyDescent="0.25">
      <c r="A855" s="7"/>
    </row>
    <row r="856" spans="1:1" ht="15.75" customHeight="1" x14ac:dyDescent="0.25">
      <c r="A856" s="7"/>
    </row>
    <row r="857" spans="1:1" ht="15.75" customHeight="1" x14ac:dyDescent="0.25">
      <c r="A857" s="7"/>
    </row>
    <row r="858" spans="1:1" ht="15.75" customHeight="1" x14ac:dyDescent="0.25">
      <c r="A858" s="7"/>
    </row>
    <row r="859" spans="1:1" ht="15.75" customHeight="1" x14ac:dyDescent="0.25">
      <c r="A859" s="7"/>
    </row>
    <row r="860" spans="1:1" ht="15.75" customHeight="1" x14ac:dyDescent="0.25">
      <c r="A860" s="7"/>
    </row>
    <row r="861" spans="1:1" ht="15.75" customHeight="1" x14ac:dyDescent="0.25">
      <c r="A861" s="7"/>
    </row>
    <row r="862" spans="1:1" ht="15.75" customHeight="1" x14ac:dyDescent="0.25">
      <c r="A862" s="7"/>
    </row>
    <row r="863" spans="1:1" ht="15.75" customHeight="1" x14ac:dyDescent="0.25">
      <c r="A863" s="7"/>
    </row>
    <row r="864" spans="1:1" ht="15.75" customHeight="1" x14ac:dyDescent="0.25">
      <c r="A864" s="7"/>
    </row>
    <row r="865" spans="1:1" ht="15.75" customHeight="1" x14ac:dyDescent="0.25">
      <c r="A865" s="7"/>
    </row>
    <row r="866" spans="1:1" ht="15.75" customHeight="1" x14ac:dyDescent="0.25">
      <c r="A866" s="7"/>
    </row>
    <row r="867" spans="1:1" ht="15.75" customHeight="1" x14ac:dyDescent="0.25">
      <c r="A867" s="7"/>
    </row>
    <row r="868" spans="1:1" ht="15.75" customHeight="1" x14ac:dyDescent="0.25">
      <c r="A868" s="7"/>
    </row>
    <row r="869" spans="1:1" ht="15.75" customHeight="1" x14ac:dyDescent="0.25">
      <c r="A869" s="7"/>
    </row>
    <row r="870" spans="1:1" ht="15.75" customHeight="1" x14ac:dyDescent="0.25">
      <c r="A870" s="7"/>
    </row>
    <row r="871" spans="1:1" ht="15.75" customHeight="1" x14ac:dyDescent="0.25">
      <c r="A871" s="7"/>
    </row>
    <row r="872" spans="1:1" ht="15.75" customHeight="1" x14ac:dyDescent="0.25">
      <c r="A872" s="7"/>
    </row>
    <row r="873" spans="1:1" ht="15.75" customHeight="1" x14ac:dyDescent="0.25">
      <c r="A873" s="7"/>
    </row>
    <row r="874" spans="1:1" ht="15.75" customHeight="1" x14ac:dyDescent="0.25">
      <c r="A874" s="7"/>
    </row>
    <row r="875" spans="1:1" ht="15.75" customHeight="1" x14ac:dyDescent="0.25">
      <c r="A875" s="7"/>
    </row>
    <row r="876" spans="1:1" ht="15.75" customHeight="1" x14ac:dyDescent="0.25">
      <c r="A876" s="7"/>
    </row>
    <row r="877" spans="1:1" ht="15.75" customHeight="1" x14ac:dyDescent="0.25">
      <c r="A877" s="7"/>
    </row>
    <row r="878" spans="1:1" ht="15.75" customHeight="1" x14ac:dyDescent="0.25">
      <c r="A878" s="7"/>
    </row>
    <row r="879" spans="1:1" ht="15.75" customHeight="1" x14ac:dyDescent="0.25">
      <c r="A879" s="7"/>
    </row>
    <row r="880" spans="1:1" ht="15.75" customHeight="1" x14ac:dyDescent="0.25">
      <c r="A880" s="7"/>
    </row>
    <row r="881" spans="1:1" ht="15.75" customHeight="1" x14ac:dyDescent="0.25">
      <c r="A881" s="7"/>
    </row>
    <row r="882" spans="1:1" ht="15.75" customHeight="1" x14ac:dyDescent="0.25">
      <c r="A882" s="7"/>
    </row>
    <row r="883" spans="1:1" ht="15.75" customHeight="1" x14ac:dyDescent="0.25">
      <c r="A883" s="7"/>
    </row>
    <row r="884" spans="1:1" ht="15.75" customHeight="1" x14ac:dyDescent="0.25">
      <c r="A884" s="7"/>
    </row>
    <row r="885" spans="1:1" ht="15.75" customHeight="1" x14ac:dyDescent="0.25">
      <c r="A885" s="7"/>
    </row>
    <row r="886" spans="1:1" ht="15.75" customHeight="1" x14ac:dyDescent="0.25">
      <c r="A886" s="7"/>
    </row>
    <row r="887" spans="1:1" ht="15.75" customHeight="1" x14ac:dyDescent="0.25">
      <c r="A887" s="7"/>
    </row>
    <row r="888" spans="1:1" ht="15.75" customHeight="1" x14ac:dyDescent="0.25">
      <c r="A888" s="7"/>
    </row>
    <row r="889" spans="1:1" ht="15.75" customHeight="1" x14ac:dyDescent="0.25">
      <c r="A889" s="7"/>
    </row>
    <row r="890" spans="1:1" ht="15.75" customHeight="1" x14ac:dyDescent="0.25">
      <c r="A890" s="7"/>
    </row>
    <row r="891" spans="1:1" ht="15.75" customHeight="1" x14ac:dyDescent="0.25">
      <c r="A891" s="7"/>
    </row>
    <row r="892" spans="1:1" ht="15.75" customHeight="1" x14ac:dyDescent="0.25">
      <c r="A892" s="7"/>
    </row>
    <row r="893" spans="1:1" ht="15.75" customHeight="1" x14ac:dyDescent="0.25">
      <c r="A893" s="7"/>
    </row>
    <row r="894" spans="1:1" ht="15.75" customHeight="1" x14ac:dyDescent="0.25">
      <c r="A894" s="7"/>
    </row>
    <row r="895" spans="1:1" ht="15.75" customHeight="1" x14ac:dyDescent="0.25">
      <c r="A895" s="7"/>
    </row>
    <row r="896" spans="1:1" ht="15.75" customHeight="1" x14ac:dyDescent="0.25">
      <c r="A896" s="7"/>
    </row>
    <row r="897" spans="1:1" ht="15.75" customHeight="1" x14ac:dyDescent="0.25">
      <c r="A897" s="7"/>
    </row>
    <row r="898" spans="1:1" ht="15.75" customHeight="1" x14ac:dyDescent="0.25">
      <c r="A898" s="7"/>
    </row>
    <row r="899" spans="1:1" ht="15.75" customHeight="1" x14ac:dyDescent="0.25">
      <c r="A899" s="7"/>
    </row>
    <row r="900" spans="1:1" ht="15.75" customHeight="1" x14ac:dyDescent="0.25">
      <c r="A900" s="7"/>
    </row>
    <row r="901" spans="1:1" ht="15.75" customHeight="1" x14ac:dyDescent="0.25">
      <c r="A901" s="7"/>
    </row>
    <row r="902" spans="1:1" ht="15.75" customHeight="1" x14ac:dyDescent="0.25">
      <c r="A902" s="7"/>
    </row>
    <row r="903" spans="1:1" ht="15.75" customHeight="1" x14ac:dyDescent="0.25">
      <c r="A903" s="7"/>
    </row>
    <row r="904" spans="1:1" ht="15.75" customHeight="1" x14ac:dyDescent="0.25">
      <c r="A904" s="7"/>
    </row>
    <row r="905" spans="1:1" ht="15.75" customHeight="1" x14ac:dyDescent="0.25">
      <c r="A905" s="7"/>
    </row>
    <row r="906" spans="1:1" ht="15.75" customHeight="1" x14ac:dyDescent="0.25">
      <c r="A906" s="7"/>
    </row>
    <row r="907" spans="1:1" ht="15.75" customHeight="1" x14ac:dyDescent="0.25">
      <c r="A907" s="7"/>
    </row>
    <row r="908" spans="1:1" ht="15.75" customHeight="1" x14ac:dyDescent="0.25">
      <c r="A908" s="7"/>
    </row>
    <row r="909" spans="1:1" ht="15.75" customHeight="1" x14ac:dyDescent="0.25">
      <c r="A909" s="7"/>
    </row>
    <row r="910" spans="1:1" ht="15.75" customHeight="1" x14ac:dyDescent="0.25">
      <c r="A910" s="7"/>
    </row>
    <row r="911" spans="1:1" ht="15.75" customHeight="1" x14ac:dyDescent="0.25">
      <c r="A911" s="7"/>
    </row>
    <row r="912" spans="1:1" ht="15.75" customHeight="1" x14ac:dyDescent="0.25">
      <c r="A912" s="7"/>
    </row>
    <row r="913" spans="1:1" ht="15.75" customHeight="1" x14ac:dyDescent="0.25">
      <c r="A913" s="7"/>
    </row>
    <row r="914" spans="1:1" ht="15.75" customHeight="1" x14ac:dyDescent="0.25">
      <c r="A914" s="7"/>
    </row>
    <row r="915" spans="1:1" ht="15.75" customHeight="1" x14ac:dyDescent="0.25">
      <c r="A915" s="7"/>
    </row>
    <row r="916" spans="1:1" ht="15.75" customHeight="1" x14ac:dyDescent="0.25">
      <c r="A916" s="7"/>
    </row>
    <row r="917" spans="1:1" ht="15.75" customHeight="1" x14ac:dyDescent="0.25">
      <c r="A917" s="7"/>
    </row>
    <row r="918" spans="1:1" ht="15.75" customHeight="1" x14ac:dyDescent="0.25">
      <c r="A918" s="7"/>
    </row>
    <row r="919" spans="1:1" ht="15.75" customHeight="1" x14ac:dyDescent="0.25">
      <c r="A919" s="7"/>
    </row>
    <row r="920" spans="1:1" ht="15.75" customHeight="1" x14ac:dyDescent="0.25">
      <c r="A920" s="7"/>
    </row>
    <row r="921" spans="1:1" ht="15.75" customHeight="1" x14ac:dyDescent="0.25">
      <c r="A921" s="7"/>
    </row>
    <row r="922" spans="1:1" ht="15.75" customHeight="1" x14ac:dyDescent="0.25">
      <c r="A922" s="7"/>
    </row>
    <row r="923" spans="1:1" ht="15.75" customHeight="1" x14ac:dyDescent="0.25">
      <c r="A923" s="7"/>
    </row>
    <row r="924" spans="1:1" ht="15.75" customHeight="1" x14ac:dyDescent="0.25">
      <c r="A924" s="7"/>
    </row>
    <row r="925" spans="1:1" ht="15.75" customHeight="1" x14ac:dyDescent="0.25">
      <c r="A925" s="7"/>
    </row>
    <row r="926" spans="1:1" ht="15.75" customHeight="1" x14ac:dyDescent="0.25">
      <c r="A926" s="7"/>
    </row>
    <row r="927" spans="1:1" ht="15.75" customHeight="1" x14ac:dyDescent="0.25">
      <c r="A927" s="7"/>
    </row>
    <row r="928" spans="1:1" ht="15.75" customHeight="1" x14ac:dyDescent="0.25">
      <c r="A928" s="7"/>
    </row>
    <row r="929" spans="1:1" ht="15.75" customHeight="1" x14ac:dyDescent="0.25">
      <c r="A929" s="7"/>
    </row>
    <row r="930" spans="1:1" ht="15.75" customHeight="1" x14ac:dyDescent="0.25">
      <c r="A930" s="7"/>
    </row>
    <row r="931" spans="1:1" ht="15.75" customHeight="1" x14ac:dyDescent="0.25">
      <c r="A931" s="7"/>
    </row>
    <row r="932" spans="1:1" ht="15.75" customHeight="1" x14ac:dyDescent="0.25">
      <c r="A932" s="7"/>
    </row>
    <row r="933" spans="1:1" ht="15.75" customHeight="1" x14ac:dyDescent="0.25">
      <c r="A933" s="7"/>
    </row>
    <row r="934" spans="1:1" ht="15.75" customHeight="1" x14ac:dyDescent="0.25">
      <c r="A934" s="7"/>
    </row>
    <row r="935" spans="1:1" ht="15.75" customHeight="1" x14ac:dyDescent="0.25">
      <c r="A935" s="7"/>
    </row>
    <row r="936" spans="1:1" ht="15.75" customHeight="1" x14ac:dyDescent="0.25">
      <c r="A936" s="7"/>
    </row>
    <row r="937" spans="1:1" ht="15.75" customHeight="1" x14ac:dyDescent="0.25">
      <c r="A937" s="7"/>
    </row>
    <row r="938" spans="1:1" ht="15.75" customHeight="1" x14ac:dyDescent="0.25">
      <c r="A938" s="7"/>
    </row>
    <row r="939" spans="1:1" ht="15.75" customHeight="1" x14ac:dyDescent="0.25">
      <c r="A939" s="7"/>
    </row>
    <row r="940" spans="1:1" ht="15.75" customHeight="1" x14ac:dyDescent="0.25">
      <c r="A940" s="7"/>
    </row>
    <row r="941" spans="1:1" ht="15.75" customHeight="1" x14ac:dyDescent="0.25">
      <c r="A941" s="7"/>
    </row>
    <row r="942" spans="1:1" ht="15.75" customHeight="1" x14ac:dyDescent="0.25">
      <c r="A942" s="7"/>
    </row>
    <row r="943" spans="1:1" ht="15.75" customHeight="1" x14ac:dyDescent="0.25">
      <c r="A943" s="7"/>
    </row>
    <row r="944" spans="1:1" ht="15.75" customHeight="1" x14ac:dyDescent="0.25">
      <c r="A944" s="7"/>
    </row>
    <row r="945" spans="1:1" ht="15.75" customHeight="1" x14ac:dyDescent="0.25">
      <c r="A945" s="7"/>
    </row>
    <row r="946" spans="1:1" ht="15.75" customHeight="1" x14ac:dyDescent="0.25">
      <c r="A946" s="7"/>
    </row>
    <row r="947" spans="1:1" ht="15.75" customHeight="1" x14ac:dyDescent="0.25">
      <c r="A947" s="7"/>
    </row>
    <row r="948" spans="1:1" ht="15.75" customHeight="1" x14ac:dyDescent="0.25">
      <c r="A948" s="7"/>
    </row>
    <row r="949" spans="1:1" ht="15.75" customHeight="1" x14ac:dyDescent="0.25">
      <c r="A949" s="7"/>
    </row>
    <row r="950" spans="1:1" ht="15.75" customHeight="1" x14ac:dyDescent="0.25">
      <c r="A950" s="7"/>
    </row>
    <row r="951" spans="1:1" ht="15.75" customHeight="1" x14ac:dyDescent="0.25">
      <c r="A951" s="7"/>
    </row>
    <row r="952" spans="1:1" ht="15.75" customHeight="1" x14ac:dyDescent="0.25">
      <c r="A952" s="7"/>
    </row>
    <row r="953" spans="1:1" ht="15.75" customHeight="1" x14ac:dyDescent="0.25">
      <c r="A953" s="7"/>
    </row>
    <row r="954" spans="1:1" ht="15.75" customHeight="1" x14ac:dyDescent="0.25">
      <c r="A954" s="7"/>
    </row>
    <row r="955" spans="1:1" ht="15.75" customHeight="1" x14ac:dyDescent="0.25">
      <c r="A955" s="7"/>
    </row>
    <row r="956" spans="1:1" ht="15.75" customHeight="1" x14ac:dyDescent="0.25">
      <c r="A956" s="7"/>
    </row>
    <row r="957" spans="1:1" ht="15.75" customHeight="1" x14ac:dyDescent="0.25">
      <c r="A957" s="7"/>
    </row>
    <row r="958" spans="1:1" ht="15.75" customHeight="1" x14ac:dyDescent="0.25">
      <c r="A958" s="7"/>
    </row>
    <row r="959" spans="1:1" ht="15.75" customHeight="1" x14ac:dyDescent="0.25">
      <c r="A959" s="7"/>
    </row>
    <row r="960" spans="1:1" ht="15.75" customHeight="1" x14ac:dyDescent="0.25">
      <c r="A960" s="7"/>
    </row>
    <row r="961" spans="1:1" ht="15.75" customHeight="1" x14ac:dyDescent="0.25">
      <c r="A961" s="7"/>
    </row>
    <row r="962" spans="1:1" ht="15.75" customHeight="1" x14ac:dyDescent="0.25">
      <c r="A962" s="7"/>
    </row>
    <row r="963" spans="1:1" ht="15.75" customHeight="1" x14ac:dyDescent="0.25">
      <c r="A963" s="7"/>
    </row>
    <row r="964" spans="1:1" ht="15.75" customHeight="1" x14ac:dyDescent="0.25">
      <c r="A964" s="7"/>
    </row>
    <row r="965" spans="1:1" ht="15.75" customHeight="1" x14ac:dyDescent="0.25">
      <c r="A965" s="7"/>
    </row>
    <row r="966" spans="1:1" ht="15.75" customHeight="1" x14ac:dyDescent="0.25">
      <c r="A966" s="7"/>
    </row>
    <row r="967" spans="1:1" ht="15.75" customHeight="1" x14ac:dyDescent="0.25">
      <c r="A967" s="7"/>
    </row>
    <row r="968" spans="1:1" ht="15.75" customHeight="1" x14ac:dyDescent="0.25">
      <c r="A968" s="7"/>
    </row>
    <row r="969" spans="1:1" ht="15.75" customHeight="1" x14ac:dyDescent="0.25">
      <c r="A969" s="7"/>
    </row>
    <row r="970" spans="1:1" ht="15.75" customHeight="1" x14ac:dyDescent="0.25">
      <c r="A970" s="7"/>
    </row>
    <row r="971" spans="1:1" ht="15.75" customHeight="1" x14ac:dyDescent="0.25">
      <c r="A971" s="7"/>
    </row>
    <row r="972" spans="1:1" ht="15.75" customHeight="1" x14ac:dyDescent="0.25">
      <c r="A972" s="7"/>
    </row>
    <row r="973" spans="1:1" ht="15.75" customHeight="1" x14ac:dyDescent="0.25">
      <c r="A973" s="7"/>
    </row>
    <row r="974" spans="1:1" ht="15.75" customHeight="1" x14ac:dyDescent="0.25">
      <c r="A974" s="7"/>
    </row>
    <row r="975" spans="1:1" ht="15.75" customHeight="1" x14ac:dyDescent="0.25">
      <c r="A975" s="7"/>
    </row>
    <row r="976" spans="1:1" ht="15.75" customHeight="1" x14ac:dyDescent="0.25">
      <c r="A976" s="7"/>
    </row>
    <row r="977" spans="1:1" ht="15.75" customHeight="1" x14ac:dyDescent="0.25">
      <c r="A977" s="7"/>
    </row>
    <row r="978" spans="1:1" ht="15.75" customHeight="1" x14ac:dyDescent="0.25">
      <c r="A978" s="7"/>
    </row>
    <row r="979" spans="1:1" ht="15.75" customHeight="1" x14ac:dyDescent="0.25">
      <c r="A979" s="7"/>
    </row>
    <row r="980" spans="1:1" ht="15.75" customHeight="1" x14ac:dyDescent="0.25">
      <c r="A980" s="7"/>
    </row>
    <row r="981" spans="1:1" ht="15.75" customHeight="1" x14ac:dyDescent="0.25">
      <c r="A981" s="7"/>
    </row>
    <row r="982" spans="1:1" ht="15.75" customHeight="1" x14ac:dyDescent="0.25">
      <c r="A982" s="7"/>
    </row>
    <row r="983" spans="1:1" ht="15.75" customHeight="1" x14ac:dyDescent="0.25">
      <c r="A983" s="7"/>
    </row>
    <row r="984" spans="1:1" ht="15.75" customHeight="1" x14ac:dyDescent="0.25">
      <c r="A984" s="7"/>
    </row>
    <row r="985" spans="1:1" ht="15.75" customHeight="1" x14ac:dyDescent="0.25">
      <c r="A985" s="7"/>
    </row>
    <row r="986" spans="1:1" ht="15.75" customHeight="1" x14ac:dyDescent="0.25">
      <c r="A986" s="7"/>
    </row>
    <row r="987" spans="1:1" ht="15.75" customHeight="1" x14ac:dyDescent="0.25">
      <c r="A987" s="7"/>
    </row>
    <row r="988" spans="1:1" ht="15.75" customHeight="1" x14ac:dyDescent="0.25">
      <c r="A988" s="7"/>
    </row>
    <row r="989" spans="1:1" ht="15.75" customHeight="1" x14ac:dyDescent="0.25">
      <c r="A989" s="7"/>
    </row>
    <row r="990" spans="1:1" ht="15.75" customHeight="1" x14ac:dyDescent="0.25">
      <c r="A990" s="7"/>
    </row>
    <row r="991" spans="1:1" ht="15.75" customHeight="1" x14ac:dyDescent="0.25">
      <c r="A991" s="7"/>
    </row>
    <row r="992" spans="1:1" ht="15.75" customHeight="1" x14ac:dyDescent="0.25">
      <c r="A992" s="7"/>
    </row>
    <row r="993" spans="1:1" ht="15.75" customHeight="1" x14ac:dyDescent="0.25">
      <c r="A993" s="7"/>
    </row>
    <row r="994" spans="1:1" ht="15.75" customHeight="1" x14ac:dyDescent="0.25">
      <c r="A994" s="7"/>
    </row>
    <row r="995" spans="1:1" ht="15.75" customHeight="1" x14ac:dyDescent="0.25">
      <c r="A995" s="7"/>
    </row>
    <row r="996" spans="1:1" ht="15.75" customHeight="1" x14ac:dyDescent="0.25">
      <c r="A996" s="7"/>
    </row>
    <row r="997" spans="1:1" ht="15.75" customHeight="1" x14ac:dyDescent="0.25">
      <c r="A997" s="7"/>
    </row>
    <row r="998" spans="1:1" ht="15.75" customHeight="1" x14ac:dyDescent="0.25">
      <c r="A998" s="7"/>
    </row>
    <row r="999" spans="1:1" ht="15.75" customHeight="1" x14ac:dyDescent="0.25">
      <c r="A999" s="7"/>
    </row>
    <row r="1000" spans="1:1" ht="15.75" customHeight="1" x14ac:dyDescent="0.25">
      <c r="A1000" s="7"/>
    </row>
  </sheetData>
  <sheetProtection algorithmName="SHA-512" hashValue="bpz5HKPbo4u3mYtcjBvk9itiigTdhBSt6qcf9TwPB21S7z0boRlxM7KZ3xexeW1CskRq+h0e9sCYOwi2E9mZcQ==" saltValue="pwxa2bU1v/isrhItslSQpg==" spinCount="100000" sheet="1" objects="1" scenarios="1"/>
  <mergeCells count="6">
    <mergeCell ref="B132:H132"/>
    <mergeCell ref="B1:H1"/>
    <mergeCell ref="B27:H27"/>
    <mergeCell ref="B54:H54"/>
    <mergeCell ref="B72:H72"/>
    <mergeCell ref="B109:H109"/>
  </mergeCells>
  <pageMargins left="0.7" right="0.7" top="0.75" bottom="0.75" header="0" footer="0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00"/>
  <sheetViews>
    <sheetView zoomScale="70" zoomScaleNormal="70" workbookViewId="0">
      <selection activeCell="K38" sqref="K38"/>
    </sheetView>
  </sheetViews>
  <sheetFormatPr defaultColWidth="14.42578125" defaultRowHeight="15" customHeight="1" x14ac:dyDescent="0.25"/>
  <cols>
    <col min="1" max="1" width="9.140625" style="42" customWidth="1"/>
    <col min="2" max="2" width="45.7109375" style="42" customWidth="1"/>
    <col min="3" max="3" width="8.85546875" style="42" customWidth="1"/>
    <col min="4" max="4" width="8.140625" style="42" customWidth="1"/>
    <col min="5" max="7" width="8.7109375" style="42" customWidth="1"/>
    <col min="8" max="8" width="13.140625" style="42" customWidth="1"/>
    <col min="9" max="10" width="8.7109375" style="42" customWidth="1"/>
    <col min="11" max="11" width="39.28515625" style="42" customWidth="1"/>
    <col min="12" max="26" width="8.7109375" style="42" customWidth="1"/>
    <col min="27" max="16384" width="14.42578125" style="42"/>
  </cols>
  <sheetData>
    <row r="1" spans="1:16" ht="18.75" x14ac:dyDescent="0.3">
      <c r="A1" s="1"/>
      <c r="B1" s="173" t="s">
        <v>2</v>
      </c>
      <c r="C1" s="174"/>
      <c r="D1" s="174"/>
      <c r="E1" s="174"/>
      <c r="F1" s="174"/>
      <c r="G1" s="174"/>
      <c r="H1" s="134"/>
      <c r="I1" s="1"/>
    </row>
    <row r="2" spans="1:16" ht="15.75" thickBot="1" x14ac:dyDescent="0.3">
      <c r="A2" s="1"/>
      <c r="B2" s="8" t="s">
        <v>8</v>
      </c>
      <c r="C2" s="8" t="s">
        <v>11</v>
      </c>
      <c r="D2" s="9" t="e">
        <f>VLOOKUP(B2,'Nutrition Plan'!$D$116:$F$126,3,0)</f>
        <v>#N/A</v>
      </c>
      <c r="E2" s="10" t="e">
        <f>D2/(1/10)</f>
        <v>#N/A</v>
      </c>
      <c r="F2" s="11" t="e">
        <f>D2/(1/0.2)</f>
        <v>#N/A</v>
      </c>
      <c r="G2" s="10" t="e">
        <f>D2/(1/50)</f>
        <v>#N/A</v>
      </c>
      <c r="H2" s="12" t="e">
        <f t="shared" ref="H2:H26" si="0">(E2*4)+(F2*9)+(G2*4)</f>
        <v>#N/A</v>
      </c>
      <c r="I2" s="1"/>
    </row>
    <row r="3" spans="1:16" ht="16.5" thickTop="1" thickBot="1" x14ac:dyDescent="0.3">
      <c r="A3" s="1"/>
      <c r="B3" s="8" t="s">
        <v>21</v>
      </c>
      <c r="C3" s="8" t="s">
        <v>22</v>
      </c>
      <c r="D3" s="9" t="e">
        <f>VLOOKUP(B3,'Nutrition Plan'!$D$116:$F$126,3,0)</f>
        <v>#N/A</v>
      </c>
      <c r="E3" s="10" t="e">
        <f>D3/(1/4)</f>
        <v>#N/A</v>
      </c>
      <c r="F3" s="11" t="e">
        <f>D3/(1/0.5)</f>
        <v>#N/A</v>
      </c>
      <c r="G3" s="10" t="e">
        <f>D3/(1/15)</f>
        <v>#N/A</v>
      </c>
      <c r="H3" s="12" t="e">
        <f t="shared" si="0"/>
        <v>#N/A</v>
      </c>
      <c r="I3" s="1"/>
      <c r="K3" s="7" t="s">
        <v>168</v>
      </c>
      <c r="M3" s="42">
        <v>1.5</v>
      </c>
      <c r="N3" s="42">
        <v>0.3</v>
      </c>
      <c r="O3" s="42">
        <v>5</v>
      </c>
      <c r="P3" s="42">
        <v>1</v>
      </c>
    </row>
    <row r="4" spans="1:16" ht="16.5" thickTop="1" thickBot="1" x14ac:dyDescent="0.3">
      <c r="A4" s="1"/>
      <c r="B4" s="8" t="s">
        <v>25</v>
      </c>
      <c r="C4" s="8" t="s">
        <v>7</v>
      </c>
      <c r="D4" s="9" t="e">
        <f>VLOOKUP(B4,'Nutrition Plan'!$D$116:$F$126,3,0)</f>
        <v>#N/A</v>
      </c>
      <c r="E4" s="10" t="e">
        <f>D4/(28/3)</f>
        <v>#N/A</v>
      </c>
      <c r="F4" s="11" t="e">
        <f>D4/(28/2)</f>
        <v>#N/A</v>
      </c>
      <c r="G4" s="10" t="e">
        <f>D4/(28/20)</f>
        <v>#N/A</v>
      </c>
      <c r="H4" s="12" t="e">
        <f t="shared" si="0"/>
        <v>#N/A</v>
      </c>
      <c r="I4" s="1"/>
      <c r="K4" s="7" t="s">
        <v>26</v>
      </c>
      <c r="M4" s="42">
        <v>1.6</v>
      </c>
      <c r="N4" s="42">
        <v>0.31</v>
      </c>
      <c r="O4" s="42">
        <v>8</v>
      </c>
      <c r="P4" s="42">
        <v>2</v>
      </c>
    </row>
    <row r="5" spans="1:16" ht="16.5" thickTop="1" thickBot="1" x14ac:dyDescent="0.3">
      <c r="A5" s="1"/>
      <c r="B5" s="8" t="s">
        <v>27</v>
      </c>
      <c r="C5" s="8" t="s">
        <v>7</v>
      </c>
      <c r="D5" s="9" t="e">
        <f>VLOOKUP(B5,'Nutrition Plan'!$D$116:$F$126,3,0)</f>
        <v>#N/A</v>
      </c>
      <c r="E5" s="10" t="e">
        <f>D5/(57/8)</f>
        <v>#N/A</v>
      </c>
      <c r="F5" s="11">
        <v>0</v>
      </c>
      <c r="G5" s="10" t="e">
        <f>D5/(57/40)</f>
        <v>#N/A</v>
      </c>
      <c r="H5" s="12" t="e">
        <f t="shared" si="0"/>
        <v>#N/A</v>
      </c>
      <c r="I5" s="1"/>
      <c r="K5" s="7" t="s">
        <v>169</v>
      </c>
      <c r="M5" s="42">
        <v>1.7</v>
      </c>
      <c r="N5" s="42">
        <v>0.32</v>
      </c>
      <c r="O5" s="42">
        <v>10</v>
      </c>
      <c r="P5" s="42">
        <v>3</v>
      </c>
    </row>
    <row r="6" spans="1:16" ht="16.5" thickTop="1" thickBot="1" x14ac:dyDescent="0.3">
      <c r="A6" s="1"/>
      <c r="B6" s="8" t="s">
        <v>28</v>
      </c>
      <c r="C6" s="8" t="s">
        <v>7</v>
      </c>
      <c r="D6" s="9" t="e">
        <f>VLOOKUP(B6,'Nutrition Plan'!$D$116:$F$126,3,0)</f>
        <v>#N/A</v>
      </c>
      <c r="E6" s="10" t="e">
        <f>D6/(14/1)</f>
        <v>#N/A</v>
      </c>
      <c r="F6" s="11">
        <f>0</f>
        <v>0</v>
      </c>
      <c r="G6" s="10" t="e">
        <f>D6/(14/12)</f>
        <v>#N/A</v>
      </c>
      <c r="H6" s="12" t="e">
        <f t="shared" si="0"/>
        <v>#N/A</v>
      </c>
      <c r="I6" s="1"/>
      <c r="K6" s="7" t="s">
        <v>33</v>
      </c>
      <c r="M6" s="42">
        <v>1.8</v>
      </c>
      <c r="N6" s="42">
        <v>0.33</v>
      </c>
      <c r="O6" s="42">
        <v>12</v>
      </c>
      <c r="P6" s="42">
        <v>4</v>
      </c>
    </row>
    <row r="7" spans="1:16" ht="16.5" thickTop="1" thickBot="1" x14ac:dyDescent="0.3">
      <c r="A7" s="1"/>
      <c r="B7" s="8" t="s">
        <v>34</v>
      </c>
      <c r="C7" s="8" t="s">
        <v>7</v>
      </c>
      <c r="D7" s="9" t="e">
        <f>VLOOKUP(B7,'Nutrition Plan'!$D$116:$F$126,3,0)</f>
        <v>#N/A</v>
      </c>
      <c r="E7" s="10" t="e">
        <f>D7/(30/2)</f>
        <v>#N/A</v>
      </c>
      <c r="F7" s="11" t="e">
        <f>D7/(30/1)</f>
        <v>#N/A</v>
      </c>
      <c r="G7" s="10" t="e">
        <f>D7/(30/11)</f>
        <v>#N/A</v>
      </c>
      <c r="H7" s="12" t="e">
        <f t="shared" si="0"/>
        <v>#N/A</v>
      </c>
      <c r="I7" s="1"/>
      <c r="K7" s="7" t="s">
        <v>36</v>
      </c>
      <c r="M7" s="42">
        <v>1.9</v>
      </c>
      <c r="N7" s="42">
        <v>0.34</v>
      </c>
      <c r="O7" s="42">
        <v>15</v>
      </c>
      <c r="P7" s="42">
        <v>5</v>
      </c>
    </row>
    <row r="8" spans="1:16" ht="16.5" thickTop="1" thickBot="1" x14ac:dyDescent="0.3">
      <c r="A8" s="1"/>
      <c r="B8" s="8" t="s">
        <v>170</v>
      </c>
      <c r="C8" s="8" t="s">
        <v>7</v>
      </c>
      <c r="D8" s="9" t="e">
        <f>VLOOKUP(B8,'Nutrition Plan'!$D$116:$F$126,3,0)</f>
        <v>#N/A</v>
      </c>
      <c r="E8" s="10" t="e">
        <f>D8/(100/2)</f>
        <v>#N/A</v>
      </c>
      <c r="F8" s="11">
        <f>0</f>
        <v>0</v>
      </c>
      <c r="G8" s="10" t="e">
        <f>D8/(100/82.4)</f>
        <v>#N/A</v>
      </c>
      <c r="H8" s="12" t="e">
        <f t="shared" si="0"/>
        <v>#N/A</v>
      </c>
      <c r="I8" s="1"/>
      <c r="K8" s="7" t="s">
        <v>37</v>
      </c>
      <c r="M8" s="42">
        <v>2</v>
      </c>
      <c r="N8" s="42">
        <v>0.35</v>
      </c>
      <c r="P8" s="42">
        <v>6</v>
      </c>
    </row>
    <row r="9" spans="1:16" ht="16.5" thickTop="1" thickBot="1" x14ac:dyDescent="0.3">
      <c r="A9" s="1"/>
      <c r="B9" s="8" t="s">
        <v>171</v>
      </c>
      <c r="C9" s="8" t="s">
        <v>7</v>
      </c>
      <c r="D9" s="9" t="e">
        <f>VLOOKUP(B9,'Nutrition Plan'!$D$116:$F$126,3,0)</f>
        <v>#N/A</v>
      </c>
      <c r="E9" s="10">
        <v>0</v>
      </c>
      <c r="F9" s="11">
        <v>0</v>
      </c>
      <c r="G9" s="10" t="e">
        <f>D9/(28/4)</f>
        <v>#N/A</v>
      </c>
      <c r="H9" s="12" t="e">
        <f t="shared" si="0"/>
        <v>#N/A</v>
      </c>
      <c r="I9" s="1"/>
      <c r="M9" s="42">
        <v>2.1</v>
      </c>
      <c r="N9" s="42">
        <v>0.36</v>
      </c>
      <c r="P9" s="42">
        <v>7</v>
      </c>
    </row>
    <row r="10" spans="1:16" ht="16.5" thickTop="1" thickBot="1" x14ac:dyDescent="0.3">
      <c r="A10" s="1"/>
      <c r="B10" s="8" t="s">
        <v>172</v>
      </c>
      <c r="C10" s="8" t="s">
        <v>7</v>
      </c>
      <c r="D10" s="9" t="e">
        <f>VLOOKUP(B10,'Nutrition Plan'!$D$116:$F$126,3,0)</f>
        <v>#N/A</v>
      </c>
      <c r="E10" s="10" t="e">
        <f>D10/(45/7)</f>
        <v>#N/A</v>
      </c>
      <c r="F10" s="11" t="e">
        <f>D10/(45/3)</f>
        <v>#N/A</v>
      </c>
      <c r="G10" s="10" t="e">
        <f>D10/(45/30)</f>
        <v>#N/A</v>
      </c>
      <c r="H10" s="12" t="e">
        <f t="shared" si="0"/>
        <v>#N/A</v>
      </c>
      <c r="I10" s="1"/>
      <c r="M10" s="42">
        <v>2.2000000000000002</v>
      </c>
      <c r="N10" s="42">
        <v>0.37</v>
      </c>
    </row>
    <row r="11" spans="1:16" ht="16.5" thickTop="1" thickBot="1" x14ac:dyDescent="0.3">
      <c r="A11" s="1"/>
      <c r="B11" s="8" t="s">
        <v>38</v>
      </c>
      <c r="C11" s="8" t="s">
        <v>7</v>
      </c>
      <c r="D11" s="9" t="e">
        <f>VLOOKUP(B11,'Nutrition Plan'!$D$116:$F$126,3,0)</f>
        <v>#N/A</v>
      </c>
      <c r="E11" s="10" t="e">
        <f t="shared" ref="E11:E12" si="1">D11/(40/5)</f>
        <v>#N/A</v>
      </c>
      <c r="F11" s="11" t="e">
        <f>D11/(40/3)</f>
        <v>#N/A</v>
      </c>
      <c r="G11" s="10" t="e">
        <f t="shared" ref="G11:G12" si="2">D11/(40/27)</f>
        <v>#N/A</v>
      </c>
      <c r="H11" s="12" t="e">
        <f t="shared" si="0"/>
        <v>#N/A</v>
      </c>
      <c r="I11" s="1"/>
      <c r="M11" s="42">
        <v>2.2999999999999998</v>
      </c>
      <c r="N11" s="42">
        <v>0.38</v>
      </c>
    </row>
    <row r="12" spans="1:16" ht="16.5" thickTop="1" thickBot="1" x14ac:dyDescent="0.3">
      <c r="A12" s="1"/>
      <c r="B12" s="8" t="s">
        <v>173</v>
      </c>
      <c r="C12" s="8" t="s">
        <v>7</v>
      </c>
      <c r="D12" s="9" t="e">
        <f>VLOOKUP(B12,'Nutrition Plan'!$D$116:$F$126,3,0)</f>
        <v>#N/A</v>
      </c>
      <c r="E12" s="10" t="e">
        <f t="shared" si="1"/>
        <v>#N/A</v>
      </c>
      <c r="F12" s="11" t="e">
        <f>D12/(40/2.5)</f>
        <v>#N/A</v>
      </c>
      <c r="G12" s="10" t="e">
        <f t="shared" si="2"/>
        <v>#N/A</v>
      </c>
      <c r="H12" s="12" t="e">
        <f t="shared" si="0"/>
        <v>#N/A</v>
      </c>
      <c r="I12" s="1"/>
      <c r="M12" s="42">
        <v>2.4</v>
      </c>
      <c r="N12" s="42">
        <v>0.39</v>
      </c>
    </row>
    <row r="13" spans="1:16" ht="16.5" thickTop="1" thickBot="1" x14ac:dyDescent="0.3">
      <c r="A13" s="1"/>
      <c r="B13" s="8" t="s">
        <v>41</v>
      </c>
      <c r="C13" s="8" t="s">
        <v>7</v>
      </c>
      <c r="D13" s="9" t="e">
        <f>VLOOKUP(B13,'Nutrition Plan'!$D$116:$F$126,3,0)</f>
        <v>#N/A</v>
      </c>
      <c r="E13" s="10" t="e">
        <f>D13/(47/4)</f>
        <v>#N/A</v>
      </c>
      <c r="F13" s="11" t="e">
        <f>D13/(47/0.5)</f>
        <v>#N/A</v>
      </c>
      <c r="G13" s="10" t="e">
        <f>D13/(47/33)</f>
        <v>#N/A</v>
      </c>
      <c r="H13" s="12" t="e">
        <f t="shared" si="0"/>
        <v>#N/A</v>
      </c>
      <c r="I13" s="1"/>
      <c r="M13" s="42">
        <v>2.5</v>
      </c>
      <c r="N13" s="42">
        <v>0.4</v>
      </c>
    </row>
    <row r="14" spans="1:16" ht="16.5" thickTop="1" thickBot="1" x14ac:dyDescent="0.3">
      <c r="A14" s="1"/>
      <c r="B14" s="8" t="s">
        <v>42</v>
      </c>
      <c r="C14" s="8" t="s">
        <v>7</v>
      </c>
      <c r="D14" s="9" t="e">
        <f>VLOOKUP(B14,'Nutrition Plan'!$D$116:$F$126,3,0)</f>
        <v>#N/A</v>
      </c>
      <c r="E14" s="10" t="e">
        <f>D14/(38/4)</f>
        <v>#N/A</v>
      </c>
      <c r="F14" s="11" t="e">
        <f>D14/(38/0.5)</f>
        <v>#N/A</v>
      </c>
      <c r="G14" s="10" t="e">
        <f>D14/(38/26)</f>
        <v>#N/A</v>
      </c>
      <c r="H14" s="12" t="e">
        <f t="shared" si="0"/>
        <v>#N/A</v>
      </c>
      <c r="I14" s="1"/>
      <c r="N14" s="42">
        <v>0.41</v>
      </c>
    </row>
    <row r="15" spans="1:16" ht="16.5" thickTop="1" thickBot="1" x14ac:dyDescent="0.3">
      <c r="A15" s="1"/>
      <c r="B15" s="8" t="s">
        <v>43</v>
      </c>
      <c r="C15" s="8" t="s">
        <v>7</v>
      </c>
      <c r="D15" s="9" t="e">
        <f>VLOOKUP(B15,'Nutrition Plan'!$D$116:$F$126,3,0)</f>
        <v>#N/A</v>
      </c>
      <c r="E15" s="10" t="e">
        <f>D15/(42/1)</f>
        <v>#N/A</v>
      </c>
      <c r="F15" s="11" t="e">
        <f>D15/(42/0.5)</f>
        <v>#N/A</v>
      </c>
      <c r="G15" s="10" t="e">
        <f>D15/(42/32)</f>
        <v>#N/A</v>
      </c>
      <c r="H15" s="12" t="e">
        <f t="shared" si="0"/>
        <v>#N/A</v>
      </c>
      <c r="I15" s="1"/>
      <c r="N15" s="42">
        <v>0.42</v>
      </c>
    </row>
    <row r="16" spans="1:16" ht="16.5" thickTop="1" thickBot="1" x14ac:dyDescent="0.3">
      <c r="A16" s="1"/>
      <c r="B16" s="8" t="s">
        <v>174</v>
      </c>
      <c r="C16" s="8" t="s">
        <v>7</v>
      </c>
      <c r="D16" s="9" t="e">
        <f>VLOOKUP(B16,'Nutrition Plan'!$D$116:$F$126,3,0)</f>
        <v>#N/A</v>
      </c>
      <c r="E16" s="10" t="e">
        <f>D16/(28/1.5)</f>
        <v>#N/A</v>
      </c>
      <c r="F16" s="11" t="e">
        <f>D16/(28/0.15)</f>
        <v>#N/A</v>
      </c>
      <c r="G16" s="10" t="e">
        <f>D16/(28/7.45)</f>
        <v>#N/A</v>
      </c>
      <c r="H16" s="12" t="e">
        <f t="shared" si="0"/>
        <v>#N/A</v>
      </c>
      <c r="I16" s="1"/>
      <c r="N16" s="42">
        <v>0.43</v>
      </c>
    </row>
    <row r="17" spans="1:14" ht="16.5" thickTop="1" thickBot="1" x14ac:dyDescent="0.3">
      <c r="A17" s="1"/>
      <c r="B17" s="8" t="s">
        <v>44</v>
      </c>
      <c r="C17" s="8" t="s">
        <v>45</v>
      </c>
      <c r="D17" s="9" t="e">
        <f>VLOOKUP(B17,'Nutrition Plan'!$D$116:$F$126,3,0)</f>
        <v>#N/A</v>
      </c>
      <c r="E17" s="10" t="e">
        <f>D17/(1/1)</f>
        <v>#N/A</v>
      </c>
      <c r="F17" s="11">
        <f>0</f>
        <v>0</v>
      </c>
      <c r="G17" s="10" t="e">
        <f>D17/(1/8)</f>
        <v>#N/A</v>
      </c>
      <c r="H17" s="12" t="e">
        <f t="shared" si="0"/>
        <v>#N/A</v>
      </c>
      <c r="I17" s="1"/>
      <c r="N17" s="42">
        <v>0.44</v>
      </c>
    </row>
    <row r="18" spans="1:14" ht="16.5" thickTop="1" thickBot="1" x14ac:dyDescent="0.3">
      <c r="A18" s="1"/>
      <c r="B18" s="8" t="s">
        <v>175</v>
      </c>
      <c r="C18" s="8" t="s">
        <v>7</v>
      </c>
      <c r="D18" s="9" t="e">
        <f>VLOOKUP(B18,'Nutrition Plan'!$D$116:$F$126,3,0)</f>
        <v>#N/A</v>
      </c>
      <c r="E18" s="10" t="e">
        <f>D18/(100/2.32)</f>
        <v>#N/A</v>
      </c>
      <c r="F18" s="11" t="e">
        <f>D18/(100/0.83)</f>
        <v>#N/A</v>
      </c>
      <c r="G18" s="10" t="e">
        <f>D18/(100/23.51)</f>
        <v>#N/A</v>
      </c>
      <c r="H18" s="12" t="e">
        <f t="shared" si="0"/>
        <v>#N/A</v>
      </c>
      <c r="I18" s="1"/>
      <c r="N18" s="42">
        <v>0.45</v>
      </c>
    </row>
    <row r="19" spans="1:14" ht="16.5" thickTop="1" thickBot="1" x14ac:dyDescent="0.3">
      <c r="A19" s="1"/>
      <c r="B19" s="8" t="s">
        <v>176</v>
      </c>
      <c r="C19" s="8" t="s">
        <v>7</v>
      </c>
      <c r="D19" s="9" t="e">
        <f>VLOOKUP(B19,'Nutrition Plan'!$D$116:$F$126,3,0)</f>
        <v>#N/A</v>
      </c>
      <c r="E19" s="10" t="e">
        <f>D19/(200/4.2)</f>
        <v>#N/A</v>
      </c>
      <c r="F19" s="11" t="e">
        <f>D19/(200/0.44)</f>
        <v>#N/A</v>
      </c>
      <c r="G19" s="10" t="e">
        <f>D19/(200/45)</f>
        <v>#N/A</v>
      </c>
      <c r="H19" s="12" t="e">
        <f t="shared" si="0"/>
        <v>#N/A</v>
      </c>
      <c r="I19" s="1"/>
      <c r="N19" s="42">
        <v>0.46</v>
      </c>
    </row>
    <row r="20" spans="1:14" ht="16.5" thickTop="1" thickBot="1" x14ac:dyDescent="0.3">
      <c r="A20" s="1"/>
      <c r="B20" s="8" t="s">
        <v>177</v>
      </c>
      <c r="C20" s="8" t="s">
        <v>7</v>
      </c>
      <c r="D20" s="9" t="e">
        <f>VLOOKUP(B20,'Nutrition Plan'!$D$116:$F$126,3,0)</f>
        <v>#N/A</v>
      </c>
      <c r="E20" s="10" t="e">
        <f>D20/(100/2.38)</f>
        <v>#N/A</v>
      </c>
      <c r="F20" s="11" t="e">
        <f>D20/(100/0.21)</f>
        <v>#N/A</v>
      </c>
      <c r="G20" s="10" t="e">
        <f>D20/(100/28.59)</f>
        <v>#N/A</v>
      </c>
      <c r="H20" s="12" t="e">
        <f t="shared" si="0"/>
        <v>#N/A</v>
      </c>
      <c r="I20" s="1"/>
      <c r="N20" s="42">
        <v>0.47</v>
      </c>
    </row>
    <row r="21" spans="1:14" ht="15.75" customHeight="1" thickTop="1" thickBot="1" x14ac:dyDescent="0.3">
      <c r="A21" s="1"/>
      <c r="B21" s="8" t="s">
        <v>178</v>
      </c>
      <c r="C21" s="8" t="s">
        <v>7</v>
      </c>
      <c r="D21" s="9" t="e">
        <f>VLOOKUP(B21,'Nutrition Plan'!$D$116:$F$126,3,0)</f>
        <v>#N/A</v>
      </c>
      <c r="E21" s="10" t="e">
        <f>D21/(100/2)</f>
        <v>#N/A</v>
      </c>
      <c r="F21" s="11">
        <v>0</v>
      </c>
      <c r="G21" s="10" t="e">
        <f>D21/(100/20)</f>
        <v>#N/A</v>
      </c>
      <c r="H21" s="12" t="e">
        <f t="shared" si="0"/>
        <v>#N/A</v>
      </c>
      <c r="I21" s="1"/>
      <c r="N21" s="42">
        <v>0.48</v>
      </c>
    </row>
    <row r="22" spans="1:14" ht="15.75" customHeight="1" thickTop="1" thickBot="1" x14ac:dyDescent="0.3">
      <c r="A22" s="1"/>
      <c r="B22" s="8" t="s">
        <v>48</v>
      </c>
      <c r="C22" s="8" t="s">
        <v>7</v>
      </c>
      <c r="D22" s="9" t="e">
        <f>VLOOKUP(B22,'Nutrition Plan'!$D$116:$F$126,3,0)</f>
        <v>#N/A</v>
      </c>
      <c r="E22" s="10" t="e">
        <f t="shared" ref="E22:E23" si="3">D22/(70/5)</f>
        <v>#N/A</v>
      </c>
      <c r="F22" s="11" t="e">
        <f>D22/(70/8)</f>
        <v>#N/A</v>
      </c>
      <c r="G22" s="10" t="e">
        <f t="shared" ref="G22:G23" si="4">D22/(70/27)</f>
        <v>#N/A</v>
      </c>
      <c r="H22" s="12" t="e">
        <f t="shared" si="0"/>
        <v>#N/A</v>
      </c>
      <c r="I22" s="1"/>
      <c r="N22" s="42">
        <v>0.49</v>
      </c>
    </row>
    <row r="23" spans="1:14" ht="15.75" customHeight="1" thickTop="1" thickBot="1" x14ac:dyDescent="0.3">
      <c r="A23" s="1"/>
      <c r="B23" s="8" t="s">
        <v>51</v>
      </c>
      <c r="C23" s="8" t="s">
        <v>7</v>
      </c>
      <c r="D23" s="9" t="e">
        <f>VLOOKUP(B23,'Nutrition Plan'!$D$116:$F$126,3,0)</f>
        <v>#N/A</v>
      </c>
      <c r="E23" s="10" t="e">
        <f t="shared" si="3"/>
        <v>#N/A</v>
      </c>
      <c r="F23" s="11" t="e">
        <f>D23/(70/2.5)</f>
        <v>#N/A</v>
      </c>
      <c r="G23" s="10" t="e">
        <f t="shared" si="4"/>
        <v>#N/A</v>
      </c>
      <c r="H23" s="12" t="e">
        <f t="shared" si="0"/>
        <v>#N/A</v>
      </c>
      <c r="I23" s="1"/>
      <c r="N23" s="42">
        <v>0.5</v>
      </c>
    </row>
    <row r="24" spans="1:14" ht="15.75" customHeight="1" thickTop="1" thickBot="1" x14ac:dyDescent="0.3">
      <c r="A24" s="1"/>
      <c r="B24" s="8" t="s">
        <v>54</v>
      </c>
      <c r="C24" s="8" t="s">
        <v>55</v>
      </c>
      <c r="D24" s="9" t="e">
        <f>VLOOKUP(B24,'Nutrition Plan'!$D$116:$F$126,3,0)</f>
        <v>#N/A</v>
      </c>
      <c r="E24" s="10" t="e">
        <f>D24/(2/5)</f>
        <v>#N/A</v>
      </c>
      <c r="F24" s="11" t="e">
        <f>D24/(2/5)</f>
        <v>#N/A</v>
      </c>
      <c r="G24" s="10" t="e">
        <f>D24/(2/25)</f>
        <v>#N/A</v>
      </c>
      <c r="H24" s="12" t="e">
        <f t="shared" si="0"/>
        <v>#N/A</v>
      </c>
      <c r="I24" s="1"/>
    </row>
    <row r="25" spans="1:14" ht="15.75" customHeight="1" thickTop="1" thickBot="1" x14ac:dyDescent="0.3">
      <c r="A25" s="1"/>
      <c r="B25" s="8" t="s">
        <v>179</v>
      </c>
      <c r="C25" s="8" t="s">
        <v>7</v>
      </c>
      <c r="D25" s="9" t="e">
        <f>VLOOKUP(B25,'Nutrition Plan'!$D$116:$F$126,3,0)</f>
        <v>#N/A</v>
      </c>
      <c r="E25" s="10" t="e">
        <f>D25/(100/2.4)</f>
        <v>#N/A</v>
      </c>
      <c r="F25" s="11" t="e">
        <f>D25/(100/0.15)</f>
        <v>#N/A</v>
      </c>
      <c r="G25" s="10" t="e">
        <f>D25/(100/24.2)</f>
        <v>#N/A</v>
      </c>
      <c r="H25" s="12" t="e">
        <f t="shared" si="0"/>
        <v>#N/A</v>
      </c>
      <c r="I25" s="1"/>
    </row>
    <row r="26" spans="1:14" ht="15.75" customHeight="1" thickTop="1" thickBot="1" x14ac:dyDescent="0.3">
      <c r="A26" s="1"/>
      <c r="B26" s="8" t="s">
        <v>57</v>
      </c>
      <c r="C26" s="8" t="s">
        <v>58</v>
      </c>
      <c r="D26" s="9" t="e">
        <f>VLOOKUP(B26,'Nutrition Plan'!$D$116:$F$126,3,0)</f>
        <v>#N/A</v>
      </c>
      <c r="E26" s="10" t="e">
        <f>D26/(1/8)</f>
        <v>#N/A</v>
      </c>
      <c r="F26" s="11" t="e">
        <f>D26/(1/3)</f>
        <v>#N/A</v>
      </c>
      <c r="G26" s="10" t="e">
        <f>D26/(1/7)</f>
        <v>#N/A</v>
      </c>
      <c r="H26" s="12" t="e">
        <f t="shared" si="0"/>
        <v>#N/A</v>
      </c>
      <c r="I26" s="1"/>
    </row>
    <row r="27" spans="1:14" ht="15.75" customHeight="1" thickTop="1" x14ac:dyDescent="0.3">
      <c r="A27" s="1"/>
      <c r="B27" s="173" t="s">
        <v>26</v>
      </c>
      <c r="C27" s="174"/>
      <c r="D27" s="174"/>
      <c r="E27" s="174"/>
      <c r="F27" s="174"/>
      <c r="G27" s="174"/>
      <c r="H27" s="134"/>
      <c r="I27" s="1"/>
    </row>
    <row r="28" spans="1:14" ht="15.75" customHeight="1" thickBot="1" x14ac:dyDescent="0.3">
      <c r="A28" s="1"/>
      <c r="B28" s="8" t="s">
        <v>60</v>
      </c>
      <c r="C28" s="8" t="s">
        <v>7</v>
      </c>
      <c r="D28" s="9" t="e">
        <f>VLOOKUP(B28,'Nutrition Plan'!$D$116:$F$126,3,0)</f>
        <v>#N/A</v>
      </c>
      <c r="E28" s="10" t="e">
        <f>D28/(28/2.95)</f>
        <v>#N/A</v>
      </c>
      <c r="F28" s="11" t="e">
        <f>D28/(28/0.64)</f>
        <v>#N/A</v>
      </c>
      <c r="G28" s="10" t="e">
        <f>D28/(28/1.34)</f>
        <v>#N/A</v>
      </c>
      <c r="H28" s="12" t="e">
        <f t="shared" ref="H28:H53" si="5">(E28*4)+(F28*9)+(G28*4)</f>
        <v>#N/A</v>
      </c>
      <c r="I28" s="1"/>
    </row>
    <row r="29" spans="1:14" ht="15.75" customHeight="1" thickTop="1" thickBot="1" x14ac:dyDescent="0.3">
      <c r="A29" s="1"/>
      <c r="B29" s="8" t="s">
        <v>61</v>
      </c>
      <c r="C29" s="8" t="s">
        <v>7</v>
      </c>
      <c r="D29" s="9" t="e">
        <f>VLOOKUP(B29,'Nutrition Plan'!$D$116:$F$126,3,0)</f>
        <v>#N/A</v>
      </c>
      <c r="E29" s="10" t="e">
        <f>D29/(100/18.94)</f>
        <v>#N/A</v>
      </c>
      <c r="F29" s="11" t="e">
        <f>D29/(100/26.05)</f>
        <v>#N/A</v>
      </c>
      <c r="G29" s="10" t="e">
        <f>D29/(100/6.94)</f>
        <v>#N/A</v>
      </c>
      <c r="H29" s="12" t="e">
        <f t="shared" si="5"/>
        <v>#N/A</v>
      </c>
      <c r="I29" s="1"/>
    </row>
    <row r="30" spans="1:14" ht="15.75" customHeight="1" thickTop="1" thickBot="1" x14ac:dyDescent="0.3">
      <c r="A30" s="1"/>
      <c r="B30" s="8" t="s">
        <v>62</v>
      </c>
      <c r="C30" s="8" t="s">
        <v>22</v>
      </c>
      <c r="D30" s="9" t="e">
        <f>VLOOKUP(B30,'Nutrition Plan'!$D$116:$F$126,3,0)</f>
        <v>#N/A</v>
      </c>
      <c r="E30" s="10" t="e">
        <f>D30/(1/4)</f>
        <v>#N/A</v>
      </c>
      <c r="F30" s="11" t="e">
        <f>D30/(1/6)</f>
        <v>#N/A</v>
      </c>
      <c r="G30" s="10">
        <f>0</f>
        <v>0</v>
      </c>
      <c r="H30" s="12" t="e">
        <f t="shared" si="5"/>
        <v>#N/A</v>
      </c>
      <c r="I30" s="1"/>
    </row>
    <row r="31" spans="1:14" ht="15.75" customHeight="1" thickTop="1" thickBot="1" x14ac:dyDescent="0.3">
      <c r="A31" s="1"/>
      <c r="B31" s="8" t="s">
        <v>63</v>
      </c>
      <c r="C31" s="8" t="s">
        <v>7</v>
      </c>
      <c r="D31" s="9" t="e">
        <f>VLOOKUP(B31,'Nutrition Plan'!$D$116:$F$126,3,0)</f>
        <v>#N/A</v>
      </c>
      <c r="E31" s="10" t="e">
        <f>D31/(100/14.21)</f>
        <v>#N/A</v>
      </c>
      <c r="F31" s="11" t="e">
        <f>D31/(100/21.28)</f>
        <v>#N/A</v>
      </c>
      <c r="G31" s="10" t="e">
        <f>D31/(100/4.09)</f>
        <v>#N/A</v>
      </c>
      <c r="H31" s="12" t="e">
        <f t="shared" si="5"/>
        <v>#N/A</v>
      </c>
      <c r="I31" s="1"/>
    </row>
    <row r="32" spans="1:14" ht="15.75" customHeight="1" thickTop="1" thickBot="1" x14ac:dyDescent="0.3">
      <c r="A32" s="1"/>
      <c r="B32" s="8" t="s">
        <v>64</v>
      </c>
      <c r="C32" s="8" t="s">
        <v>7</v>
      </c>
      <c r="D32" s="9" t="e">
        <f>VLOOKUP(B32,'Nutrition Plan'!$D$116:$F$126,3,0)</f>
        <v>#N/A</v>
      </c>
      <c r="E32" s="10" t="e">
        <f>D32/(28/6)</f>
        <v>#N/A</v>
      </c>
      <c r="F32" s="11" t="e">
        <f>D32/(28/4)</f>
        <v>#N/A</v>
      </c>
      <c r="G32" s="10" t="e">
        <f>D32/(28/3)</f>
        <v>#N/A</v>
      </c>
      <c r="H32" s="12" t="e">
        <f t="shared" si="5"/>
        <v>#N/A</v>
      </c>
      <c r="I32" s="1"/>
    </row>
    <row r="33" spans="1:9" ht="15.75" customHeight="1" thickTop="1" thickBot="1" x14ac:dyDescent="0.3">
      <c r="A33" s="1"/>
      <c r="B33" s="8" t="s">
        <v>65</v>
      </c>
      <c r="C33" s="8" t="s">
        <v>22</v>
      </c>
      <c r="D33" s="9" t="e">
        <f>VLOOKUP(B33,'Nutrition Plan'!$D$116:$F$126,3,0)</f>
        <v>#N/A</v>
      </c>
      <c r="E33" s="10" t="e">
        <f t="shared" ref="E33:E34" si="6">D33/(1/3)</f>
        <v>#N/A</v>
      </c>
      <c r="F33" s="11" t="e">
        <f>D33/(1/2.5)</f>
        <v>#N/A</v>
      </c>
      <c r="G33" s="10" t="e">
        <f t="shared" ref="G33:G34" si="7">D33/(1/1)</f>
        <v>#N/A</v>
      </c>
      <c r="H33" s="12" t="e">
        <f t="shared" si="5"/>
        <v>#N/A</v>
      </c>
      <c r="I33" s="1"/>
    </row>
    <row r="34" spans="1:9" ht="15.75" customHeight="1" thickTop="1" thickBot="1" x14ac:dyDescent="0.3">
      <c r="A34" s="1"/>
      <c r="B34" s="8" t="s">
        <v>66</v>
      </c>
      <c r="C34" s="8" t="s">
        <v>22</v>
      </c>
      <c r="D34" s="9" t="e">
        <f>VLOOKUP(B34,'Nutrition Plan'!$D$116:$F$126,3,0)</f>
        <v>#N/A</v>
      </c>
      <c r="E34" s="10" t="e">
        <f t="shared" si="6"/>
        <v>#N/A</v>
      </c>
      <c r="F34" s="11" t="e">
        <f>D34/(1/3)</f>
        <v>#N/A</v>
      </c>
      <c r="G34" s="10" t="e">
        <f t="shared" si="7"/>
        <v>#N/A</v>
      </c>
      <c r="H34" s="12" t="e">
        <f t="shared" si="5"/>
        <v>#N/A</v>
      </c>
      <c r="I34" s="1"/>
    </row>
    <row r="35" spans="1:9" ht="15.75" customHeight="1" thickTop="1" thickBot="1" x14ac:dyDescent="0.3">
      <c r="A35" s="1"/>
      <c r="B35" s="8" t="s">
        <v>67</v>
      </c>
      <c r="C35" s="8" t="s">
        <v>7</v>
      </c>
      <c r="D35" s="9" t="e">
        <f>VLOOKUP(B35,'Nutrition Plan'!$D$116:$F$126,3,0)</f>
        <v>#N/A</v>
      </c>
      <c r="E35" s="10" t="e">
        <f>D35/(28/9)</f>
        <v>#N/A</v>
      </c>
      <c r="F35" s="11">
        <f>0</f>
        <v>0</v>
      </c>
      <c r="G35" s="10" t="e">
        <f>D35/(28/2)</f>
        <v>#N/A</v>
      </c>
      <c r="H35" s="12" t="e">
        <f t="shared" si="5"/>
        <v>#N/A</v>
      </c>
      <c r="I35" s="1"/>
    </row>
    <row r="36" spans="1:9" ht="15.75" customHeight="1" thickTop="1" thickBot="1" x14ac:dyDescent="0.3">
      <c r="A36" s="1"/>
      <c r="B36" s="8" t="s">
        <v>68</v>
      </c>
      <c r="C36" s="8" t="s">
        <v>22</v>
      </c>
      <c r="D36" s="9" t="e">
        <f>VLOOKUP(B36,'Nutrition Plan'!$D$116:$F$126,3,0)</f>
        <v>#N/A</v>
      </c>
      <c r="E36" s="10" t="e">
        <f>D36/(1/5)</f>
        <v>#N/A</v>
      </c>
      <c r="F36" s="11" t="e">
        <f>D36/(1/5)</f>
        <v>#N/A</v>
      </c>
      <c r="G36" s="10">
        <f>0</f>
        <v>0</v>
      </c>
      <c r="H36" s="12" t="e">
        <f t="shared" si="5"/>
        <v>#N/A</v>
      </c>
      <c r="I36" s="1"/>
    </row>
    <row r="37" spans="1:9" ht="15.75" customHeight="1" thickTop="1" thickBot="1" x14ac:dyDescent="0.3">
      <c r="A37" s="1"/>
      <c r="B37" s="8" t="s">
        <v>69</v>
      </c>
      <c r="C37" s="8" t="s">
        <v>7</v>
      </c>
      <c r="D37" s="9" t="e">
        <f>VLOOKUP(B37,'Nutrition Plan'!$D$116:$F$126,3,0)</f>
        <v>#N/A</v>
      </c>
      <c r="E37" s="10" t="e">
        <f t="shared" ref="E37:E38" si="8">D37/(28/8)</f>
        <v>#N/A</v>
      </c>
      <c r="F37" s="11" t="e">
        <f>D37/(28/4.5)</f>
        <v>#N/A</v>
      </c>
      <c r="G37" s="10" t="e">
        <f t="shared" ref="G37:G38" si="9">D37/(28/1)</f>
        <v>#N/A</v>
      </c>
      <c r="H37" s="12" t="e">
        <f t="shared" si="5"/>
        <v>#N/A</v>
      </c>
      <c r="I37" s="1"/>
    </row>
    <row r="38" spans="1:9" ht="15.75" customHeight="1" thickTop="1" thickBot="1" x14ac:dyDescent="0.3">
      <c r="A38" s="1"/>
      <c r="B38" s="8" t="s">
        <v>71</v>
      </c>
      <c r="C38" s="8" t="s">
        <v>7</v>
      </c>
      <c r="D38" s="9" t="e">
        <f>VLOOKUP(B38,'Nutrition Plan'!$D$116:$F$126,3,0)</f>
        <v>#N/A</v>
      </c>
      <c r="E38" s="10" t="e">
        <f t="shared" si="8"/>
        <v>#N/A</v>
      </c>
      <c r="F38" s="11" t="e">
        <f>D38/(28/6)</f>
        <v>#N/A</v>
      </c>
      <c r="G38" s="10" t="e">
        <f t="shared" si="9"/>
        <v>#N/A</v>
      </c>
      <c r="H38" s="12" t="e">
        <f t="shared" si="5"/>
        <v>#N/A</v>
      </c>
      <c r="I38" s="1"/>
    </row>
    <row r="39" spans="1:9" ht="15.75" customHeight="1" thickTop="1" thickBot="1" x14ac:dyDescent="0.3">
      <c r="A39" s="1"/>
      <c r="B39" s="8" t="s">
        <v>72</v>
      </c>
      <c r="C39" s="8" t="s">
        <v>7</v>
      </c>
      <c r="D39" s="9" t="e">
        <f>VLOOKUP(B39,'Nutrition Plan'!$D$116:$F$126,3,0)</f>
        <v>#N/A</v>
      </c>
      <c r="E39" s="10" t="e">
        <f>D39/(100/11.39)</f>
        <v>#N/A</v>
      </c>
      <c r="F39" s="11" t="e">
        <f>D39/(100/7.91)</f>
        <v>#N/A</v>
      </c>
      <c r="G39" s="10" t="e">
        <f>D39/(100/5.4)</f>
        <v>#N/A</v>
      </c>
      <c r="H39" s="12" t="e">
        <f t="shared" si="5"/>
        <v>#N/A</v>
      </c>
      <c r="I39" s="1"/>
    </row>
    <row r="40" spans="1:9" ht="15.75" customHeight="1" thickTop="1" thickBot="1" x14ac:dyDescent="0.3">
      <c r="A40" s="1"/>
      <c r="B40" s="8" t="s">
        <v>73</v>
      </c>
      <c r="C40" s="8" t="s">
        <v>7</v>
      </c>
      <c r="D40" s="9" t="e">
        <f>VLOOKUP(B40,'Nutrition Plan'!$D$116:$F$126,3,0)</f>
        <v>#N/A</v>
      </c>
      <c r="E40" s="10" t="e">
        <f>D40/(100/9.8)</f>
        <v>#N/A</v>
      </c>
      <c r="F40" s="11">
        <f>0</f>
        <v>0</v>
      </c>
      <c r="G40" s="10" t="e">
        <f>D40/(100/1.6)</f>
        <v>#N/A</v>
      </c>
      <c r="H40" s="12" t="e">
        <f t="shared" si="5"/>
        <v>#N/A</v>
      </c>
      <c r="I40" s="1"/>
    </row>
    <row r="41" spans="1:9" ht="15.75" customHeight="1" thickTop="1" thickBot="1" x14ac:dyDescent="0.3">
      <c r="A41" s="1"/>
      <c r="B41" s="8" t="s">
        <v>74</v>
      </c>
      <c r="C41" s="8" t="s">
        <v>75</v>
      </c>
      <c r="D41" s="9" t="e">
        <f>VLOOKUP(B41,'Nutrition Plan'!$D$116:$F$126,3,0)</f>
        <v>#N/A</v>
      </c>
      <c r="E41" s="10" t="e">
        <f>D41/(1/3.6)</f>
        <v>#N/A</v>
      </c>
      <c r="F41" s="11" t="e">
        <f>D41/(1/0.06)</f>
        <v>#N/A</v>
      </c>
      <c r="G41" s="10" t="e">
        <f>D41/(1/0.24)</f>
        <v>#N/A</v>
      </c>
      <c r="H41" s="12" t="e">
        <f t="shared" si="5"/>
        <v>#N/A</v>
      </c>
      <c r="I41" s="1"/>
    </row>
    <row r="42" spans="1:9" ht="15.75" customHeight="1" thickTop="1" thickBot="1" x14ac:dyDescent="0.3">
      <c r="A42" s="1"/>
      <c r="B42" s="8" t="s">
        <v>77</v>
      </c>
      <c r="C42" s="8" t="s">
        <v>75</v>
      </c>
      <c r="D42" s="9" t="e">
        <f>VLOOKUP(B42,'Nutrition Plan'!$D$116:$F$126,3,0)</f>
        <v>#N/A</v>
      </c>
      <c r="E42" s="10" t="e">
        <f>D42/(1/6.28)</f>
        <v>#N/A</v>
      </c>
      <c r="F42" s="11" t="e">
        <f>D42/(1/4.76)</f>
        <v>#N/A</v>
      </c>
      <c r="G42" s="10" t="e">
        <f>D42/(1/0.36)</f>
        <v>#N/A</v>
      </c>
      <c r="H42" s="12" t="e">
        <f t="shared" si="5"/>
        <v>#N/A</v>
      </c>
      <c r="I42" s="1"/>
    </row>
    <row r="43" spans="1:9" ht="15.75" customHeight="1" thickTop="1" thickBot="1" x14ac:dyDescent="0.3">
      <c r="A43" s="1"/>
      <c r="B43" s="8" t="s">
        <v>78</v>
      </c>
      <c r="C43" s="8" t="s">
        <v>75</v>
      </c>
      <c r="D43" s="9" t="e">
        <f>VLOOKUP(B43,'Nutrition Plan'!$D$116:$F$126,3,0)</f>
        <v>#N/A</v>
      </c>
      <c r="E43" s="10" t="e">
        <f>D43/(1/7)</f>
        <v>#N/A</v>
      </c>
      <c r="F43" s="11" t="e">
        <f>D43/(1/4.5)</f>
        <v>#N/A</v>
      </c>
      <c r="G43" s="10">
        <v>0</v>
      </c>
      <c r="H43" s="12" t="e">
        <f t="shared" si="5"/>
        <v>#N/A</v>
      </c>
      <c r="I43" s="1"/>
    </row>
    <row r="44" spans="1:9" ht="15.75" customHeight="1" thickTop="1" thickBot="1" x14ac:dyDescent="0.3">
      <c r="A44" s="1"/>
      <c r="B44" s="8" t="s">
        <v>79</v>
      </c>
      <c r="C44" s="8" t="s">
        <v>7</v>
      </c>
      <c r="D44" s="9" t="e">
        <f>VLOOKUP(B44,'Nutrition Plan'!$D$116:$F$126,3,0)</f>
        <v>#N/A</v>
      </c>
      <c r="E44" s="10" t="e">
        <f t="shared" ref="E44:E45" si="10">D44/(46/5)</f>
        <v>#N/A</v>
      </c>
      <c r="F44" s="11">
        <f t="shared" ref="F44:F45" si="11">0</f>
        <v>0</v>
      </c>
      <c r="G44" s="10" t="e">
        <f>D44/(46/0.75)</f>
        <v>#N/A</v>
      </c>
      <c r="H44" s="12" t="e">
        <f t="shared" si="5"/>
        <v>#N/A</v>
      </c>
      <c r="I44" s="1"/>
    </row>
    <row r="45" spans="1:9" ht="15.75" customHeight="1" thickTop="1" thickBot="1" x14ac:dyDescent="0.3">
      <c r="A45" s="1"/>
      <c r="B45" s="8" t="s">
        <v>80</v>
      </c>
      <c r="C45" s="8" t="s">
        <v>7</v>
      </c>
      <c r="D45" s="9" t="e">
        <f>VLOOKUP(B45,'Nutrition Plan'!$D$116:$F$126,3,0)</f>
        <v>#N/A</v>
      </c>
      <c r="E45" s="10" t="e">
        <f t="shared" si="10"/>
        <v>#N/A</v>
      </c>
      <c r="F45" s="11">
        <f t="shared" si="11"/>
        <v>0</v>
      </c>
      <c r="G45" s="10">
        <f>0</f>
        <v>0</v>
      </c>
      <c r="H45" s="12" t="e">
        <f t="shared" si="5"/>
        <v>#N/A</v>
      </c>
      <c r="I45" s="1"/>
    </row>
    <row r="46" spans="1:9" ht="15.75" customHeight="1" thickTop="1" thickBot="1" x14ac:dyDescent="0.3">
      <c r="A46" s="1"/>
      <c r="B46" s="8" t="s">
        <v>81</v>
      </c>
      <c r="C46" s="8" t="s">
        <v>82</v>
      </c>
      <c r="D46" s="9" t="e">
        <f>VLOOKUP(B46,'Nutrition Plan'!$D$116:$F$126,3,0)</f>
        <v>#N/A</v>
      </c>
      <c r="E46" s="10" t="e">
        <f t="shared" ref="E46:E47" si="12">D46/(8/8)</f>
        <v>#N/A</v>
      </c>
      <c r="F46" s="11" t="e">
        <f>D46/(8/2.4)</f>
        <v>#N/A</v>
      </c>
      <c r="G46" s="10" t="e">
        <f t="shared" ref="G46:G47" si="13">D46/(8/12)</f>
        <v>#N/A</v>
      </c>
      <c r="H46" s="12" t="e">
        <f t="shared" si="5"/>
        <v>#N/A</v>
      </c>
      <c r="I46" s="1"/>
    </row>
    <row r="47" spans="1:9" ht="15.75" customHeight="1" thickTop="1" thickBot="1" x14ac:dyDescent="0.3">
      <c r="A47" s="1"/>
      <c r="B47" s="8" t="s">
        <v>83</v>
      </c>
      <c r="C47" s="8" t="s">
        <v>82</v>
      </c>
      <c r="D47" s="9" t="e">
        <f>VLOOKUP(B47,'Nutrition Plan'!$D$116:$F$126,3,0)</f>
        <v>#N/A</v>
      </c>
      <c r="E47" s="10" t="e">
        <f t="shared" si="12"/>
        <v>#N/A</v>
      </c>
      <c r="F47" s="11" t="e">
        <f>D47/(8/4.9)</f>
        <v>#N/A</v>
      </c>
      <c r="G47" s="10" t="e">
        <f t="shared" si="13"/>
        <v>#N/A</v>
      </c>
      <c r="H47" s="12" t="e">
        <f t="shared" si="5"/>
        <v>#N/A</v>
      </c>
      <c r="I47" s="1"/>
    </row>
    <row r="48" spans="1:9" ht="15.75" customHeight="1" thickTop="1" thickBot="1" x14ac:dyDescent="0.3">
      <c r="A48" s="1"/>
      <c r="B48" s="8" t="s">
        <v>84</v>
      </c>
      <c r="C48" s="8" t="s">
        <v>82</v>
      </c>
      <c r="D48" s="9" t="e">
        <f>VLOOKUP(B48,'Nutrition Plan'!$D$116:$F$126,3,0)</f>
        <v>#N/A</v>
      </c>
      <c r="E48" s="10" t="e">
        <f t="shared" ref="E48:E50" si="14">D48/(8/1)</f>
        <v>#N/A</v>
      </c>
      <c r="F48" s="11" t="e">
        <f>D48/(8/2.5)</f>
        <v>#N/A</v>
      </c>
      <c r="G48" s="10" t="e">
        <f t="shared" ref="G48:G50" si="15">D48/(8/1)</f>
        <v>#N/A</v>
      </c>
      <c r="H48" s="12" t="e">
        <f t="shared" si="5"/>
        <v>#N/A</v>
      </c>
      <c r="I48" s="1"/>
    </row>
    <row r="49" spans="1:9" ht="15.75" customHeight="1" thickTop="1" thickBot="1" x14ac:dyDescent="0.3">
      <c r="A49" s="1"/>
      <c r="B49" s="8" t="s">
        <v>85</v>
      </c>
      <c r="C49" s="8" t="s">
        <v>82</v>
      </c>
      <c r="D49" s="9" t="e">
        <f>VLOOKUP(B49,'Nutrition Plan'!$D$116:$F$126,3,0)</f>
        <v>#N/A</v>
      </c>
      <c r="E49" s="10" t="e">
        <f t="shared" si="14"/>
        <v>#N/A</v>
      </c>
      <c r="F49" s="11" t="e">
        <f>D49/(8/2)</f>
        <v>#N/A</v>
      </c>
      <c r="G49" s="10" t="e">
        <f t="shared" si="15"/>
        <v>#N/A</v>
      </c>
      <c r="H49" s="12" t="e">
        <f t="shared" si="5"/>
        <v>#N/A</v>
      </c>
      <c r="I49" s="1"/>
    </row>
    <row r="50" spans="1:9" ht="15.75" customHeight="1" thickTop="1" thickBot="1" x14ac:dyDescent="0.3">
      <c r="A50" s="1"/>
      <c r="B50" s="8" t="s">
        <v>86</v>
      </c>
      <c r="C50" s="8" t="s">
        <v>82</v>
      </c>
      <c r="D50" s="9" t="e">
        <f>VLOOKUP(B50,'Nutrition Plan'!$D$116:$F$126,3,0)</f>
        <v>#N/A</v>
      </c>
      <c r="E50" s="10" t="e">
        <f t="shared" si="14"/>
        <v>#N/A</v>
      </c>
      <c r="F50" s="11" t="e">
        <f>D50/(8/3.5)</f>
        <v>#N/A</v>
      </c>
      <c r="G50" s="10" t="e">
        <f t="shared" si="15"/>
        <v>#N/A</v>
      </c>
      <c r="H50" s="12" t="e">
        <f t="shared" si="5"/>
        <v>#N/A</v>
      </c>
      <c r="I50" s="1"/>
    </row>
    <row r="51" spans="1:9" ht="15.75" customHeight="1" thickTop="1" thickBot="1" x14ac:dyDescent="0.3">
      <c r="A51" s="1"/>
      <c r="B51" s="8" t="s">
        <v>87</v>
      </c>
      <c r="C51" s="8" t="s">
        <v>82</v>
      </c>
      <c r="D51" s="9" t="e">
        <f>VLOOKUP(B51,'Nutrition Plan'!$D$116:$F$126,3,0)</f>
        <v>#N/A</v>
      </c>
      <c r="E51" s="10" t="e">
        <f t="shared" ref="E51:E52" si="16">D51/(8/8)</f>
        <v>#N/A</v>
      </c>
      <c r="F51" s="11" t="e">
        <f>D51/(8/0.2)</f>
        <v>#N/A</v>
      </c>
      <c r="G51" s="10" t="e">
        <f t="shared" ref="G51:G52" si="17">D51/(8/12)</f>
        <v>#N/A</v>
      </c>
      <c r="H51" s="12" t="e">
        <f t="shared" si="5"/>
        <v>#N/A</v>
      </c>
      <c r="I51" s="1"/>
    </row>
    <row r="52" spans="1:9" ht="15.75" customHeight="1" thickTop="1" thickBot="1" x14ac:dyDescent="0.3">
      <c r="A52" s="1"/>
      <c r="B52" s="8" t="s">
        <v>89</v>
      </c>
      <c r="C52" s="8" t="s">
        <v>82</v>
      </c>
      <c r="D52" s="9" t="e">
        <f>VLOOKUP(B52,'Nutrition Plan'!$D$116:$F$126,3,0)</f>
        <v>#N/A</v>
      </c>
      <c r="E52" s="10" t="e">
        <f t="shared" si="16"/>
        <v>#N/A</v>
      </c>
      <c r="F52" s="11" t="e">
        <f>D52/(8/8)</f>
        <v>#N/A</v>
      </c>
      <c r="G52" s="10" t="e">
        <f t="shared" si="17"/>
        <v>#N/A</v>
      </c>
      <c r="H52" s="12" t="e">
        <f t="shared" si="5"/>
        <v>#N/A</v>
      </c>
      <c r="I52" s="1"/>
    </row>
    <row r="53" spans="1:9" ht="15.75" customHeight="1" thickTop="1" thickBot="1" x14ac:dyDescent="0.3">
      <c r="A53" s="1"/>
      <c r="B53" s="8" t="s">
        <v>90</v>
      </c>
      <c r="C53" s="8" t="s">
        <v>7</v>
      </c>
      <c r="D53" s="9" t="e">
        <f>VLOOKUP(B53,'Nutrition Plan'!$D$116:$F$126,3,0)</f>
        <v>#N/A</v>
      </c>
      <c r="E53" s="10" t="e">
        <f>D53/(224/22.7)</f>
        <v>#N/A</v>
      </c>
      <c r="F53" s="11">
        <f>0</f>
        <v>0</v>
      </c>
      <c r="G53" s="10" t="e">
        <f>D53/(224/10.6)</f>
        <v>#N/A</v>
      </c>
      <c r="H53" s="12" t="e">
        <f t="shared" si="5"/>
        <v>#N/A</v>
      </c>
      <c r="I53" s="1"/>
    </row>
    <row r="54" spans="1:9" ht="15.75" customHeight="1" thickTop="1" x14ac:dyDescent="0.3">
      <c r="A54" s="1"/>
      <c r="B54" s="173" t="s">
        <v>5</v>
      </c>
      <c r="C54" s="174"/>
      <c r="D54" s="174"/>
      <c r="E54" s="174"/>
      <c r="F54" s="174"/>
      <c r="G54" s="174"/>
      <c r="H54" s="134"/>
      <c r="I54" s="1"/>
    </row>
    <row r="55" spans="1:9" ht="15.75" customHeight="1" thickBot="1" x14ac:dyDescent="0.3">
      <c r="A55" s="1"/>
      <c r="B55" s="8" t="s">
        <v>91</v>
      </c>
      <c r="C55" s="8" t="s">
        <v>7</v>
      </c>
      <c r="D55" s="9" t="e">
        <f>VLOOKUP(B55,'Nutrition Plan'!$D$116:$F$126,3,0)</f>
        <v>#N/A</v>
      </c>
      <c r="E55" s="10" t="e">
        <f>D55/(32/6)</f>
        <v>#N/A</v>
      </c>
      <c r="F55" s="11" t="e">
        <f>D55/(32/16)</f>
        <v>#N/A</v>
      </c>
      <c r="G55" s="10" t="e">
        <f>D55/(32/7)</f>
        <v>#N/A</v>
      </c>
      <c r="H55" s="12" t="e">
        <f t="shared" ref="H55:H71" si="18">(E55*4)+(F55*9)+(G55*4)</f>
        <v>#N/A</v>
      </c>
      <c r="I55" s="1"/>
    </row>
    <row r="56" spans="1:9" ht="15.75" customHeight="1" thickTop="1" thickBot="1" x14ac:dyDescent="0.3">
      <c r="A56" s="1"/>
      <c r="B56" s="8" t="s">
        <v>92</v>
      </c>
      <c r="C56" s="8" t="s">
        <v>7</v>
      </c>
      <c r="D56" s="9" t="e">
        <f>VLOOKUP(B56,'Nutrition Plan'!$D$116:$F$126,3,0)</f>
        <v>#N/A</v>
      </c>
      <c r="E56" s="10" t="e">
        <f>D56/(32/7)</f>
        <v>#N/A</v>
      </c>
      <c r="F56" s="11" t="e">
        <f>D56/(32/18)</f>
        <v>#N/A</v>
      </c>
      <c r="G56" s="10" t="e">
        <f>D56/(32/6)</f>
        <v>#N/A</v>
      </c>
      <c r="H56" s="12" t="e">
        <f t="shared" si="18"/>
        <v>#N/A</v>
      </c>
      <c r="I56" s="1"/>
    </row>
    <row r="57" spans="1:9" ht="15.75" customHeight="1" thickTop="1" thickBot="1" x14ac:dyDescent="0.3">
      <c r="A57" s="1"/>
      <c r="B57" s="8" t="s">
        <v>93</v>
      </c>
      <c r="C57" s="8" t="s">
        <v>7</v>
      </c>
      <c r="D57" s="9" t="e">
        <f>VLOOKUP(B57,'Nutrition Plan'!$D$116:$F$126,3,0)</f>
        <v>#N/A</v>
      </c>
      <c r="E57" s="10" t="e">
        <f>D57/(12/4)</f>
        <v>#N/A</v>
      </c>
      <c r="F57" s="11" t="e">
        <f>D57/(12/1.5)</f>
        <v>#N/A</v>
      </c>
      <c r="G57" s="10" t="e">
        <f>D57/(12/5)</f>
        <v>#N/A</v>
      </c>
      <c r="H57" s="12" t="e">
        <f t="shared" si="18"/>
        <v>#N/A</v>
      </c>
      <c r="I57" s="1"/>
    </row>
    <row r="58" spans="1:9" ht="15.75" customHeight="1" thickTop="1" thickBot="1" x14ac:dyDescent="0.3">
      <c r="A58" s="1"/>
      <c r="B58" s="8" t="s">
        <v>95</v>
      </c>
      <c r="C58" s="8" t="s">
        <v>7</v>
      </c>
      <c r="D58" s="9" t="e">
        <f>VLOOKUP(B58,'Nutrition Plan'!$D$116:$F$126,3,0)</f>
        <v>#N/A</v>
      </c>
      <c r="E58" s="10" t="e">
        <f>D58/(14/7)</f>
        <v>#N/A</v>
      </c>
      <c r="F58" s="11" t="e">
        <f>D58/(14/2)</f>
        <v>#N/A</v>
      </c>
      <c r="G58" s="10" t="e">
        <f>D58/(14/3)</f>
        <v>#N/A</v>
      </c>
      <c r="H58" s="12" t="e">
        <f t="shared" si="18"/>
        <v>#N/A</v>
      </c>
      <c r="I58" s="1"/>
    </row>
    <row r="59" spans="1:9" ht="15.75" customHeight="1" thickTop="1" thickBot="1" x14ac:dyDescent="0.3">
      <c r="A59" s="1"/>
      <c r="B59" s="8" t="s">
        <v>96</v>
      </c>
      <c r="C59" s="8" t="s">
        <v>7</v>
      </c>
      <c r="D59" s="9" t="e">
        <f>VLOOKUP(B59,'Nutrition Plan'!$D$116:$F$126,3,0)</f>
        <v>#N/A</v>
      </c>
      <c r="E59" s="10" t="e">
        <f>D59/(12/6)</f>
        <v>#N/A</v>
      </c>
      <c r="F59" s="11" t="e">
        <f>D59/(12/1.5)</f>
        <v>#N/A</v>
      </c>
      <c r="G59" s="10" t="e">
        <f>D59/(12/3)</f>
        <v>#N/A</v>
      </c>
      <c r="H59" s="12" t="e">
        <f t="shared" si="18"/>
        <v>#N/A</v>
      </c>
      <c r="I59" s="1"/>
    </row>
    <row r="60" spans="1:9" ht="15.75" customHeight="1" thickTop="1" thickBot="1" x14ac:dyDescent="0.3">
      <c r="A60" s="1"/>
      <c r="B60" s="8" t="s">
        <v>97</v>
      </c>
      <c r="C60" s="8" t="s">
        <v>7</v>
      </c>
      <c r="D60" s="9" t="e">
        <f>VLOOKUP(B60,'Nutrition Plan'!$D$116:$F$126,3,0)</f>
        <v>#N/A</v>
      </c>
      <c r="E60" s="10" t="e">
        <f>D60/(32/7)</f>
        <v>#N/A</v>
      </c>
      <c r="F60" s="11" t="e">
        <f>D60/(32/16)</f>
        <v>#N/A</v>
      </c>
      <c r="G60" s="10" t="e">
        <f>D60/(32/6)</f>
        <v>#N/A</v>
      </c>
      <c r="H60" s="12" t="e">
        <f t="shared" si="18"/>
        <v>#N/A</v>
      </c>
      <c r="I60" s="1"/>
    </row>
    <row r="61" spans="1:9" ht="15.75" customHeight="1" thickTop="1" thickBot="1" x14ac:dyDescent="0.3">
      <c r="A61" s="1"/>
      <c r="B61" s="8" t="s">
        <v>98</v>
      </c>
      <c r="C61" s="8" t="s">
        <v>7</v>
      </c>
      <c r="D61" s="9" t="e">
        <f>VLOOKUP(B61,'Nutrition Plan'!$D$116:$F$126,3,0)</f>
        <v>#N/A</v>
      </c>
      <c r="E61" s="10" t="e">
        <f>D61/(28/6)</f>
        <v>#N/A</v>
      </c>
      <c r="F61" s="11" t="e">
        <f>D61/(28/14)</f>
        <v>#N/A</v>
      </c>
      <c r="G61" s="10" t="e">
        <f>D61/(28/5.6)</f>
        <v>#N/A</v>
      </c>
      <c r="H61" s="12" t="e">
        <f t="shared" si="18"/>
        <v>#N/A</v>
      </c>
      <c r="I61" s="1"/>
    </row>
    <row r="62" spans="1:9" ht="15.75" customHeight="1" thickTop="1" thickBot="1" x14ac:dyDescent="0.3">
      <c r="A62" s="1"/>
      <c r="B62" s="8" t="s">
        <v>99</v>
      </c>
      <c r="C62" s="8" t="s">
        <v>7</v>
      </c>
      <c r="D62" s="9" t="e">
        <f>VLOOKUP(B62,'Nutrition Plan'!$D$116:$F$126,3,0)</f>
        <v>#N/A</v>
      </c>
      <c r="E62" s="10" t="e">
        <f>D62/(100/18.22)</f>
        <v>#N/A</v>
      </c>
      <c r="F62" s="11" t="e">
        <f>D62/(100/43.85)</f>
        <v>#N/A</v>
      </c>
      <c r="G62" s="10" t="e">
        <f>D62/(100/30.19)</f>
        <v>#N/A</v>
      </c>
      <c r="H62" s="12" t="e">
        <f t="shared" si="18"/>
        <v>#N/A</v>
      </c>
      <c r="I62" s="1"/>
    </row>
    <row r="63" spans="1:9" ht="15.75" customHeight="1" thickTop="1" thickBot="1" x14ac:dyDescent="0.3">
      <c r="A63" s="1"/>
      <c r="B63" s="8" t="s">
        <v>100</v>
      </c>
      <c r="C63" s="8" t="s">
        <v>7</v>
      </c>
      <c r="D63" s="9" t="e">
        <f>VLOOKUP(B63,'Nutrition Plan'!$D$116:$F$126,3,0)</f>
        <v>#N/A</v>
      </c>
      <c r="E63" s="10" t="e">
        <f>D63/(28/7)</f>
        <v>#N/A</v>
      </c>
      <c r="F63" s="11" t="e">
        <f>D63/(28/14)</f>
        <v>#N/A</v>
      </c>
      <c r="G63" s="10" t="e">
        <f>D63/(28/5)</f>
        <v>#N/A</v>
      </c>
      <c r="H63" s="12" t="e">
        <f t="shared" si="18"/>
        <v>#N/A</v>
      </c>
      <c r="I63" s="1"/>
    </row>
    <row r="64" spans="1:9" ht="15.75" customHeight="1" thickTop="1" thickBot="1" x14ac:dyDescent="0.3">
      <c r="A64" s="1"/>
      <c r="B64" s="8" t="s">
        <v>101</v>
      </c>
      <c r="C64" s="8" t="s">
        <v>7</v>
      </c>
      <c r="D64" s="9" t="e">
        <f>VLOOKUP(B64,'Nutrition Plan'!$D$116:$F$126,3,0)</f>
        <v>#N/A</v>
      </c>
      <c r="E64" s="10" t="e">
        <f>D64/(28/6)</f>
        <v>#N/A</v>
      </c>
      <c r="F64" s="11" t="e">
        <f>D64/(28/12)</f>
        <v>#N/A</v>
      </c>
      <c r="G64" s="10" t="e">
        <f>D64/(28/8)</f>
        <v>#N/A</v>
      </c>
      <c r="H64" s="12" t="e">
        <f t="shared" si="18"/>
        <v>#N/A</v>
      </c>
      <c r="I64" s="1"/>
    </row>
    <row r="65" spans="1:9" ht="15.75" customHeight="1" thickTop="1" thickBot="1" x14ac:dyDescent="0.3">
      <c r="A65" s="1"/>
      <c r="B65" s="8" t="s">
        <v>102</v>
      </c>
      <c r="C65" s="8" t="s">
        <v>7</v>
      </c>
      <c r="D65" s="9" t="e">
        <f>VLOOKUP(B65,'Nutrition Plan'!$D$116:$F$126,3,0)</f>
        <v>#N/A</v>
      </c>
      <c r="E65" s="10" t="e">
        <f>D65/(28/4)</f>
        <v>#N/A</v>
      </c>
      <c r="F65" s="11" t="e">
        <f>D65/(28/18)</f>
        <v>#N/A</v>
      </c>
      <c r="G65" s="10" t="e">
        <f>D65/(28/4)</f>
        <v>#N/A</v>
      </c>
      <c r="H65" s="12" t="e">
        <f t="shared" si="18"/>
        <v>#N/A</v>
      </c>
      <c r="I65" s="1"/>
    </row>
    <row r="66" spans="1:9" ht="15.75" customHeight="1" thickTop="1" thickBot="1" x14ac:dyDescent="0.3">
      <c r="A66" s="1"/>
      <c r="B66" s="8" t="s">
        <v>103</v>
      </c>
      <c r="C66" s="8" t="s">
        <v>7</v>
      </c>
      <c r="D66" s="9" t="e">
        <f>VLOOKUP(B66,'Nutrition Plan'!$D$116:$F$126,3,0)</f>
        <v>#N/A</v>
      </c>
      <c r="E66" s="10">
        <f t="shared" ref="E66:E67" si="19">0</f>
        <v>0</v>
      </c>
      <c r="F66" s="11" t="e">
        <f t="shared" ref="F66:F67" si="20">D66</f>
        <v>#N/A</v>
      </c>
      <c r="G66" s="10">
        <f t="shared" ref="G66:G67" si="21">0</f>
        <v>0</v>
      </c>
      <c r="H66" s="12" t="e">
        <f t="shared" si="18"/>
        <v>#N/A</v>
      </c>
      <c r="I66" s="1"/>
    </row>
    <row r="67" spans="1:9" ht="15.75" customHeight="1" thickTop="1" thickBot="1" x14ac:dyDescent="0.3">
      <c r="A67" s="1"/>
      <c r="B67" s="8" t="s">
        <v>104</v>
      </c>
      <c r="C67" s="8" t="s">
        <v>7</v>
      </c>
      <c r="D67" s="9" t="e">
        <f>VLOOKUP(B67,'Nutrition Plan'!$D$116:$F$126,3,0)</f>
        <v>#N/A</v>
      </c>
      <c r="E67" s="10">
        <f t="shared" si="19"/>
        <v>0</v>
      </c>
      <c r="F67" s="11" t="e">
        <f t="shared" si="20"/>
        <v>#N/A</v>
      </c>
      <c r="G67" s="10">
        <f t="shared" si="21"/>
        <v>0</v>
      </c>
      <c r="H67" s="12" t="e">
        <f t="shared" si="18"/>
        <v>#N/A</v>
      </c>
      <c r="I67" s="1"/>
    </row>
    <row r="68" spans="1:9" ht="15.75" customHeight="1" thickTop="1" thickBot="1" x14ac:dyDescent="0.3">
      <c r="A68" s="1"/>
      <c r="B68" s="8" t="s">
        <v>105</v>
      </c>
      <c r="C68" s="8" t="s">
        <v>7</v>
      </c>
      <c r="D68" s="9" t="e">
        <f>VLOOKUP(B68,'Nutrition Plan'!$D$116:$F$126,3,0)</f>
        <v>#N/A</v>
      </c>
      <c r="E68" s="10" t="e">
        <f>D68/(100/16.54)</f>
        <v>#N/A</v>
      </c>
      <c r="F68" s="11" t="e">
        <f>D68/(100/30.74)</f>
        <v>#N/A</v>
      </c>
      <c r="G68" s="10" t="e">
        <f>D68/(100/42.12)</f>
        <v>#N/A</v>
      </c>
      <c r="H68" s="12" t="e">
        <f t="shared" si="18"/>
        <v>#N/A</v>
      </c>
      <c r="I68" s="1"/>
    </row>
    <row r="69" spans="1:9" ht="15.75" customHeight="1" thickTop="1" thickBot="1" x14ac:dyDescent="0.3">
      <c r="A69" s="1"/>
      <c r="B69" s="8" t="s">
        <v>106</v>
      </c>
      <c r="C69" s="8" t="s">
        <v>7</v>
      </c>
      <c r="D69" s="9" t="e">
        <f>VLOOKUP(B69,'Nutrition Plan'!$D$116:$F$126,3,0)</f>
        <v>#N/A</v>
      </c>
      <c r="E69" s="10" t="e">
        <f>D69/(100/18.29)</f>
        <v>#N/A</v>
      </c>
      <c r="F69" s="11" t="e">
        <f>D69/(100/42.16)</f>
        <v>#N/A</v>
      </c>
      <c r="G69" s="10" t="e">
        <f>D69/(100/28.88)</f>
        <v>#N/A</v>
      </c>
      <c r="H69" s="12" t="e">
        <f t="shared" si="18"/>
        <v>#N/A</v>
      </c>
      <c r="I69" s="1"/>
    </row>
    <row r="70" spans="1:9" ht="15.75" customHeight="1" thickTop="1" thickBot="1" x14ac:dyDescent="0.3">
      <c r="A70" s="1"/>
      <c r="B70" s="8" t="s">
        <v>107</v>
      </c>
      <c r="C70" s="8" t="s">
        <v>7</v>
      </c>
      <c r="D70" s="9" t="e">
        <f>VLOOKUP(B70,'Nutrition Plan'!$D$116:$F$126,3,0)</f>
        <v>#N/A</v>
      </c>
      <c r="E70" s="10" t="e">
        <f>D70/(100/31.56)</f>
        <v>#N/A</v>
      </c>
      <c r="F70" s="11" t="e">
        <f>D70/(100/48.75)</f>
        <v>#N/A</v>
      </c>
      <c r="G70" s="10" t="e">
        <f>D70/(100/8.67)</f>
        <v>#N/A</v>
      </c>
      <c r="H70" s="12" t="e">
        <f t="shared" si="18"/>
        <v>#N/A</v>
      </c>
      <c r="I70" s="1"/>
    </row>
    <row r="71" spans="1:9" ht="15.75" customHeight="1" thickTop="1" thickBot="1" x14ac:dyDescent="0.3">
      <c r="A71" s="1"/>
      <c r="B71" s="8" t="s">
        <v>108</v>
      </c>
      <c r="C71" s="8" t="s">
        <v>7</v>
      </c>
      <c r="D71" s="9" t="e">
        <f>VLOOKUP(B71,'Nutrition Plan'!$D$116:$F$126,3,0)</f>
        <v>#N/A</v>
      </c>
      <c r="E71" s="10" t="e">
        <f>D71/(28/6)</f>
        <v>#N/A</v>
      </c>
      <c r="F71" s="11" t="e">
        <f>D71/(28/14)</f>
        <v>#N/A</v>
      </c>
      <c r="G71" s="10" t="e">
        <f>D71/(28/6)</f>
        <v>#N/A</v>
      </c>
      <c r="H71" s="12" t="e">
        <f t="shared" si="18"/>
        <v>#N/A</v>
      </c>
      <c r="I71" s="1"/>
    </row>
    <row r="72" spans="1:9" ht="15.75" customHeight="1" thickTop="1" x14ac:dyDescent="0.3">
      <c r="A72" s="1"/>
      <c r="B72" s="173" t="s">
        <v>33</v>
      </c>
      <c r="C72" s="174"/>
      <c r="D72" s="174"/>
      <c r="E72" s="174"/>
      <c r="F72" s="174"/>
      <c r="G72" s="174"/>
      <c r="H72" s="134"/>
      <c r="I72" s="1"/>
    </row>
    <row r="73" spans="1:9" ht="15.75" customHeight="1" thickBot="1" x14ac:dyDescent="0.3">
      <c r="A73" s="1"/>
      <c r="B73" s="8" t="s">
        <v>180</v>
      </c>
      <c r="C73" s="8" t="s">
        <v>7</v>
      </c>
      <c r="D73" s="9" t="e">
        <f>VLOOKUP(B73,'Nutrition Plan'!$D$116:$F$126,3,0)</f>
        <v>#N/A</v>
      </c>
      <c r="E73" s="10" t="e">
        <f>D73/(28/6)</f>
        <v>#N/A</v>
      </c>
      <c r="F73" s="11" t="e">
        <f>D73/(28/0.2)</f>
        <v>#N/A</v>
      </c>
      <c r="G73" s="10">
        <v>0</v>
      </c>
      <c r="H73" s="12" t="e">
        <f t="shared" ref="H73:H108" si="22">(E73*4)+(F73*9)+(G73*4)</f>
        <v>#N/A</v>
      </c>
      <c r="I73" s="1"/>
    </row>
    <row r="74" spans="1:9" ht="15.75" customHeight="1" thickTop="1" thickBot="1" x14ac:dyDescent="0.3">
      <c r="A74" s="1"/>
      <c r="B74" s="8" t="s">
        <v>181</v>
      </c>
      <c r="C74" s="8" t="s">
        <v>7</v>
      </c>
      <c r="D74" s="9" t="e">
        <f>VLOOKUP(B74,'Nutrition Plan'!$D$116:$F$126,3,0)</f>
        <v>#N/A</v>
      </c>
      <c r="E74" s="10" t="e">
        <f>D74/(28/5)</f>
        <v>#N/A</v>
      </c>
      <c r="F74" s="11" t="e">
        <f>D74/(28/1)</f>
        <v>#N/A</v>
      </c>
      <c r="G74" s="10">
        <v>0</v>
      </c>
      <c r="H74" s="12" t="e">
        <f t="shared" si="22"/>
        <v>#N/A</v>
      </c>
      <c r="I74" s="1"/>
    </row>
    <row r="75" spans="1:9" ht="15.75" customHeight="1" thickTop="1" thickBot="1" x14ac:dyDescent="0.3">
      <c r="A75" s="1"/>
      <c r="B75" s="8" t="s">
        <v>182</v>
      </c>
      <c r="C75" s="8" t="s">
        <v>7</v>
      </c>
      <c r="D75" s="9" t="e">
        <f>VLOOKUP(B75,'Nutrition Plan'!$D$116:$F$126,3,0)</f>
        <v>#N/A</v>
      </c>
      <c r="E75" s="10" t="e">
        <f>D75/(28/6.5)</f>
        <v>#N/A</v>
      </c>
      <c r="F75" s="11" t="e">
        <f>D75/(28/0.2)</f>
        <v>#N/A</v>
      </c>
      <c r="G75" s="10">
        <v>0</v>
      </c>
      <c r="H75" s="12" t="e">
        <f t="shared" si="22"/>
        <v>#N/A</v>
      </c>
      <c r="I75" s="1"/>
    </row>
    <row r="76" spans="1:9" ht="15.75" customHeight="1" thickTop="1" thickBot="1" x14ac:dyDescent="0.3">
      <c r="A76" s="1"/>
      <c r="B76" s="8" t="s">
        <v>183</v>
      </c>
      <c r="C76" s="8" t="s">
        <v>7</v>
      </c>
      <c r="D76" s="9" t="e">
        <f>VLOOKUP(B76,'Nutrition Plan'!$D$116:$F$126,3,0)</f>
        <v>#N/A</v>
      </c>
      <c r="E76" s="10" t="e">
        <f>D76/(28/5)</f>
        <v>#N/A</v>
      </c>
      <c r="F76" s="11" t="e">
        <f>D76/(28/1)</f>
        <v>#N/A</v>
      </c>
      <c r="G76" s="10">
        <v>0</v>
      </c>
      <c r="H76" s="12" t="e">
        <f t="shared" si="22"/>
        <v>#N/A</v>
      </c>
      <c r="I76" s="1"/>
    </row>
    <row r="77" spans="1:9" ht="15.75" customHeight="1" thickTop="1" thickBot="1" x14ac:dyDescent="0.3">
      <c r="A77" s="1"/>
      <c r="B77" s="8" t="s">
        <v>184</v>
      </c>
      <c r="C77" s="8" t="s">
        <v>7</v>
      </c>
      <c r="D77" s="9" t="e">
        <f>VLOOKUP(B77,'Nutrition Plan'!$D$116:$F$126,3,0)</f>
        <v>#N/A</v>
      </c>
      <c r="E77" s="10" t="e">
        <f>D77/(28/6)</f>
        <v>#N/A</v>
      </c>
      <c r="F77" s="11" t="e">
        <f>D77/(28/0.2)</f>
        <v>#N/A</v>
      </c>
      <c r="G77" s="10">
        <v>0</v>
      </c>
      <c r="H77" s="12" t="e">
        <f t="shared" si="22"/>
        <v>#N/A</v>
      </c>
      <c r="I77" s="1"/>
    </row>
    <row r="78" spans="1:9" ht="15.75" customHeight="1" thickTop="1" thickBot="1" x14ac:dyDescent="0.3">
      <c r="A78" s="1"/>
      <c r="B78" s="8" t="s">
        <v>185</v>
      </c>
      <c r="C78" s="8" t="s">
        <v>7</v>
      </c>
      <c r="D78" s="9" t="e">
        <f>VLOOKUP(B78,'Nutrition Plan'!$D$116:$F$126,3,0)</f>
        <v>#N/A</v>
      </c>
      <c r="E78" s="10" t="e">
        <f>D78/(28/6.4)</f>
        <v>#N/A</v>
      </c>
      <c r="F78" s="11" t="e">
        <f>D78/(28/0.5)</f>
        <v>#N/A</v>
      </c>
      <c r="G78" s="10">
        <v>0</v>
      </c>
      <c r="H78" s="12" t="e">
        <f t="shared" si="22"/>
        <v>#N/A</v>
      </c>
      <c r="I78" s="1"/>
    </row>
    <row r="79" spans="1:9" ht="15.75" customHeight="1" thickTop="1" thickBot="1" x14ac:dyDescent="0.3">
      <c r="A79" s="1"/>
      <c r="B79" s="8" t="s">
        <v>186</v>
      </c>
      <c r="C79" s="8" t="s">
        <v>7</v>
      </c>
      <c r="D79" s="9" t="e">
        <f>VLOOKUP(B79,'Nutrition Plan'!$D$116:$F$126,3,0)</f>
        <v>#N/A</v>
      </c>
      <c r="E79" s="10" t="e">
        <f t="shared" ref="E79:E80" si="23">D79/(28/7)</f>
        <v>#N/A</v>
      </c>
      <c r="F79" s="11" t="e">
        <f>D79/(28/1)</f>
        <v>#N/A</v>
      </c>
      <c r="G79" s="10">
        <v>0</v>
      </c>
      <c r="H79" s="12" t="e">
        <f t="shared" si="22"/>
        <v>#N/A</v>
      </c>
      <c r="I79" s="1"/>
    </row>
    <row r="80" spans="1:9" ht="15.75" customHeight="1" thickTop="1" thickBot="1" x14ac:dyDescent="0.3">
      <c r="A80" s="1"/>
      <c r="B80" s="8" t="s">
        <v>187</v>
      </c>
      <c r="C80" s="8" t="s">
        <v>7</v>
      </c>
      <c r="D80" s="9" t="e">
        <f>VLOOKUP(B80,'Nutrition Plan'!$D$116:$F$126,3,0)</f>
        <v>#N/A</v>
      </c>
      <c r="E80" s="10" t="e">
        <f t="shared" si="23"/>
        <v>#N/A</v>
      </c>
      <c r="F80" s="11" t="e">
        <f>D80/(28/0.5)</f>
        <v>#N/A</v>
      </c>
      <c r="G80" s="10">
        <v>0</v>
      </c>
      <c r="H80" s="12" t="e">
        <f t="shared" si="22"/>
        <v>#N/A</v>
      </c>
      <c r="I80" s="1"/>
    </row>
    <row r="81" spans="1:9" ht="15.75" customHeight="1" thickTop="1" thickBot="1" x14ac:dyDescent="0.3">
      <c r="A81" s="1"/>
      <c r="B81" s="8" t="s">
        <v>188</v>
      </c>
      <c r="C81" s="8" t="s">
        <v>7</v>
      </c>
      <c r="D81" s="9" t="e">
        <f>VLOOKUP(B81,'Nutrition Plan'!$D$116:$F$126,3,0)</f>
        <v>#N/A</v>
      </c>
      <c r="E81" s="10" t="e">
        <f>D81/(28/6)</f>
        <v>#N/A</v>
      </c>
      <c r="F81" s="11" t="e">
        <f>D81/(28/0.25)</f>
        <v>#N/A</v>
      </c>
      <c r="G81" s="10">
        <v>0</v>
      </c>
      <c r="H81" s="12" t="e">
        <f t="shared" si="22"/>
        <v>#N/A</v>
      </c>
      <c r="I81" s="1"/>
    </row>
    <row r="82" spans="1:9" ht="15.75" customHeight="1" thickTop="1" thickBot="1" x14ac:dyDescent="0.3">
      <c r="A82" s="1"/>
      <c r="B82" s="8" t="s">
        <v>189</v>
      </c>
      <c r="C82" s="8" t="s">
        <v>7</v>
      </c>
      <c r="D82" s="9" t="e">
        <f>VLOOKUP(B82,'Nutrition Plan'!$D$116:$F$126,3,0)</f>
        <v>#N/A</v>
      </c>
      <c r="E82" s="10" t="e">
        <f>D82/(28/7)</f>
        <v>#N/A</v>
      </c>
      <c r="F82" s="11" t="e">
        <f>D82/(28/0.75)</f>
        <v>#N/A</v>
      </c>
      <c r="G82" s="10">
        <v>0</v>
      </c>
      <c r="H82" s="12" t="e">
        <f t="shared" si="22"/>
        <v>#N/A</v>
      </c>
      <c r="I82" s="1"/>
    </row>
    <row r="83" spans="1:9" ht="15.75" customHeight="1" thickTop="1" thickBot="1" x14ac:dyDescent="0.3">
      <c r="A83" s="1"/>
      <c r="B83" s="8" t="s">
        <v>190</v>
      </c>
      <c r="C83" s="8" t="s">
        <v>7</v>
      </c>
      <c r="D83" s="9" t="e">
        <f>VLOOKUP(B83,'Nutrition Plan'!$D$116:$F$126,3,0)</f>
        <v>#N/A</v>
      </c>
      <c r="E83" s="10" t="e">
        <f>D83/(113/23.98)</f>
        <v>#N/A</v>
      </c>
      <c r="F83" s="11" t="e">
        <f>D83/(113/0.28)</f>
        <v>#N/A</v>
      </c>
      <c r="G83" s="10" t="e">
        <f>D83/(113/0.2)</f>
        <v>#N/A</v>
      </c>
      <c r="H83" s="12" t="e">
        <f t="shared" si="22"/>
        <v>#N/A</v>
      </c>
      <c r="I83" s="1"/>
    </row>
    <row r="84" spans="1:9" ht="15.75" customHeight="1" thickTop="1" thickBot="1" x14ac:dyDescent="0.3">
      <c r="A84" s="1"/>
      <c r="B84" s="8" t="s">
        <v>191</v>
      </c>
      <c r="C84" s="8" t="s">
        <v>7</v>
      </c>
      <c r="D84" s="9" t="e">
        <f>VLOOKUP(B84,'Nutrition Plan'!$D$116:$F$126,3,0)</f>
        <v>#N/A</v>
      </c>
      <c r="E84" s="10" t="e">
        <f>D84/(113/15)</f>
        <v>#N/A</v>
      </c>
      <c r="F84" s="11" t="e">
        <f>D84/(113/5)</f>
        <v>#N/A</v>
      </c>
      <c r="G84" s="10">
        <f t="shared" ref="G84:G85" si="24">0</f>
        <v>0</v>
      </c>
      <c r="H84" s="12" t="e">
        <f t="shared" si="22"/>
        <v>#N/A</v>
      </c>
      <c r="I84" s="1"/>
    </row>
    <row r="85" spans="1:9" ht="15.75" customHeight="1" thickTop="1" thickBot="1" x14ac:dyDescent="0.3">
      <c r="A85" s="1"/>
      <c r="B85" s="8" t="s">
        <v>192</v>
      </c>
      <c r="C85" s="8" t="s">
        <v>7</v>
      </c>
      <c r="D85" s="9" t="e">
        <f>VLOOKUP(B85,'Nutrition Plan'!$D$116:$F$126,3,0)</f>
        <v>#N/A</v>
      </c>
      <c r="E85" s="10" t="e">
        <f>D85/(100/26.15)</f>
        <v>#N/A</v>
      </c>
      <c r="F85" s="11" t="e">
        <f>D85/(100/2.65)</f>
        <v>#N/A</v>
      </c>
      <c r="G85" s="10">
        <f t="shared" si="24"/>
        <v>0</v>
      </c>
      <c r="H85" s="12" t="e">
        <f t="shared" si="22"/>
        <v>#N/A</v>
      </c>
      <c r="I85" s="1"/>
    </row>
    <row r="86" spans="1:9" ht="15.75" customHeight="1" thickTop="1" thickBot="1" x14ac:dyDescent="0.3">
      <c r="A86" s="1"/>
      <c r="B86" s="8" t="s">
        <v>109</v>
      </c>
      <c r="C86" s="8" t="s">
        <v>7</v>
      </c>
      <c r="D86" s="9" t="e">
        <f>VLOOKUP(B86,'Nutrition Plan'!$D$116:$F$126,3,0)</f>
        <v>#N/A</v>
      </c>
      <c r="E86" s="10" t="e">
        <f>D86/(56/13)</f>
        <v>#N/A</v>
      </c>
      <c r="F86" s="11">
        <f t="shared" ref="F86:G90" si="25">0</f>
        <v>0</v>
      </c>
      <c r="G86" s="10">
        <f t="shared" si="25"/>
        <v>0</v>
      </c>
      <c r="H86" s="12" t="e">
        <f t="shared" si="22"/>
        <v>#N/A</v>
      </c>
      <c r="I86" s="1"/>
    </row>
    <row r="87" spans="1:9" ht="15.75" customHeight="1" thickTop="1" thickBot="1" x14ac:dyDescent="0.3">
      <c r="A87" s="1"/>
      <c r="B87" s="8" t="s">
        <v>110</v>
      </c>
      <c r="C87" s="8" t="s">
        <v>7</v>
      </c>
      <c r="D87" s="9" t="e">
        <f>VLOOKUP(B87,'Nutrition Plan'!$D$116:$F$126,3,0)</f>
        <v>#N/A</v>
      </c>
      <c r="E87" s="10" t="e">
        <f>D87/(56/11)</f>
        <v>#N/A</v>
      </c>
      <c r="F87" s="11">
        <f t="shared" si="25"/>
        <v>0</v>
      </c>
      <c r="G87" s="10">
        <f t="shared" si="25"/>
        <v>0</v>
      </c>
      <c r="H87" s="12" t="e">
        <f t="shared" si="22"/>
        <v>#N/A</v>
      </c>
      <c r="I87" s="1"/>
    </row>
    <row r="88" spans="1:9" ht="15.75" customHeight="1" thickTop="1" thickBot="1" x14ac:dyDescent="0.3">
      <c r="A88" s="1"/>
      <c r="B88" s="8" t="s">
        <v>111</v>
      </c>
      <c r="C88" s="8" t="s">
        <v>7</v>
      </c>
      <c r="D88" s="9" t="e">
        <f>VLOOKUP(B88,'Nutrition Plan'!$D$116:$F$126,3,0)</f>
        <v>#N/A</v>
      </c>
      <c r="E88" s="10" t="e">
        <f>D88/(56/13)</f>
        <v>#N/A</v>
      </c>
      <c r="F88" s="11">
        <f t="shared" si="25"/>
        <v>0</v>
      </c>
      <c r="G88" s="10">
        <f t="shared" si="25"/>
        <v>0</v>
      </c>
      <c r="H88" s="12" t="e">
        <f t="shared" si="22"/>
        <v>#N/A</v>
      </c>
      <c r="I88" s="1"/>
    </row>
    <row r="89" spans="1:9" ht="15.75" customHeight="1" thickTop="1" thickBot="1" x14ac:dyDescent="0.3">
      <c r="A89" s="1"/>
      <c r="B89" s="8" t="s">
        <v>193</v>
      </c>
      <c r="C89" s="8" t="s">
        <v>7</v>
      </c>
      <c r="D89" s="9" t="e">
        <f>VLOOKUP(B89,'Nutrition Plan'!$D$116:$F$126,3,0)</f>
        <v>#N/A</v>
      </c>
      <c r="E89" s="10" t="e">
        <f>D89/(85/25.5)</f>
        <v>#N/A</v>
      </c>
      <c r="F89" s="11" t="e">
        <f>D89/(85/1)</f>
        <v>#N/A</v>
      </c>
      <c r="G89" s="10">
        <f t="shared" si="25"/>
        <v>0</v>
      </c>
      <c r="H89" s="12" t="e">
        <f t="shared" si="22"/>
        <v>#N/A</v>
      </c>
      <c r="I89" s="1"/>
    </row>
    <row r="90" spans="1:9" ht="15.75" customHeight="1" thickTop="1" thickBot="1" x14ac:dyDescent="0.3">
      <c r="A90" s="1"/>
      <c r="B90" s="8" t="s">
        <v>194</v>
      </c>
      <c r="C90" s="8" t="s">
        <v>7</v>
      </c>
      <c r="D90" s="9" t="e">
        <f>VLOOKUP(B90,'Nutrition Plan'!$D$116:$F$126,3,0)</f>
        <v>#N/A</v>
      </c>
      <c r="E90" s="10" t="e">
        <f>D90/(100/25.45)</f>
        <v>#N/A</v>
      </c>
      <c r="F90" s="11" t="e">
        <f>D90/(100/8.62)</f>
        <v>#N/A</v>
      </c>
      <c r="G90" s="10">
        <f t="shared" si="25"/>
        <v>0</v>
      </c>
      <c r="H90" s="12" t="e">
        <f t="shared" si="22"/>
        <v>#N/A</v>
      </c>
      <c r="I90" s="1"/>
    </row>
    <row r="91" spans="1:9" ht="15.75" customHeight="1" thickTop="1" thickBot="1" x14ac:dyDescent="0.3">
      <c r="A91" s="1"/>
      <c r="B91" s="8" t="s">
        <v>195</v>
      </c>
      <c r="C91" s="8" t="s">
        <v>7</v>
      </c>
      <c r="D91" s="9" t="e">
        <f>VLOOKUP(B91,'Nutrition Plan'!$D$116:$F$126,3,0)</f>
        <v>#N/A</v>
      </c>
      <c r="E91" s="10" t="e">
        <f>D91/(28/8)</f>
        <v>#N/A</v>
      </c>
      <c r="F91" s="11" t="e">
        <f>D91/(28/1)</f>
        <v>#N/A</v>
      </c>
      <c r="G91" s="10">
        <v>0</v>
      </c>
      <c r="H91" s="12" t="e">
        <f t="shared" si="22"/>
        <v>#N/A</v>
      </c>
      <c r="I91" s="1"/>
    </row>
    <row r="92" spans="1:9" ht="15.75" customHeight="1" thickTop="1" thickBot="1" x14ac:dyDescent="0.3">
      <c r="A92" s="1"/>
      <c r="B92" s="8" t="s">
        <v>196</v>
      </c>
      <c r="C92" s="8" t="s">
        <v>7</v>
      </c>
      <c r="D92" s="9" t="e">
        <f>VLOOKUP(B92,'Nutrition Plan'!$D$116:$F$126,3,0)</f>
        <v>#N/A</v>
      </c>
      <c r="E92" s="10" t="e">
        <f>D92/(100/26.14)</f>
        <v>#N/A</v>
      </c>
      <c r="F92" s="11" t="e">
        <f>D92/(100/11.78)</f>
        <v>#N/A</v>
      </c>
      <c r="G92" s="10">
        <v>0</v>
      </c>
      <c r="H92" s="12" t="e">
        <f t="shared" si="22"/>
        <v>#N/A</v>
      </c>
      <c r="I92" s="1"/>
    </row>
    <row r="93" spans="1:9" ht="15.75" customHeight="1" thickTop="1" thickBot="1" x14ac:dyDescent="0.3">
      <c r="A93" s="1"/>
      <c r="B93" s="8" t="s">
        <v>197</v>
      </c>
      <c r="C93" s="8" t="s">
        <v>7</v>
      </c>
      <c r="D93" s="9" t="e">
        <f>VLOOKUP(B93,'Nutrition Plan'!$D$116:$F$126,3,0)</f>
        <v>#N/A</v>
      </c>
      <c r="E93" s="10" t="e">
        <f>D93/(100/28.88)</f>
        <v>#N/A</v>
      </c>
      <c r="F93" s="11" t="e">
        <f>D93/(100/9.51)</f>
        <v>#N/A</v>
      </c>
      <c r="G93" s="10">
        <v>0</v>
      </c>
      <c r="H93" s="12" t="e">
        <f t="shared" si="22"/>
        <v>#N/A</v>
      </c>
      <c r="I93" s="1"/>
    </row>
    <row r="94" spans="1:9" ht="15.75" customHeight="1" thickTop="1" thickBot="1" x14ac:dyDescent="0.3">
      <c r="A94" s="1"/>
      <c r="B94" s="8" t="s">
        <v>198</v>
      </c>
      <c r="C94" s="8" t="s">
        <v>7</v>
      </c>
      <c r="D94" s="9" t="e">
        <f>VLOOKUP(B94,'Nutrition Plan'!$D$116:$F$126,3,0)</f>
        <v>#N/A</v>
      </c>
      <c r="E94" s="10" t="e">
        <f>D94/(100/29.32)</f>
        <v>#N/A</v>
      </c>
      <c r="F94" s="11" t="e">
        <f>D94/(100/6.52)</f>
        <v>#N/A</v>
      </c>
      <c r="G94" s="10">
        <v>0</v>
      </c>
      <c r="H94" s="12" t="e">
        <f t="shared" si="22"/>
        <v>#N/A</v>
      </c>
      <c r="I94" s="1"/>
    </row>
    <row r="95" spans="1:9" ht="15.75" customHeight="1" thickTop="1" thickBot="1" x14ac:dyDescent="0.3">
      <c r="A95" s="1"/>
      <c r="B95" s="8" t="s">
        <v>199</v>
      </c>
      <c r="C95" s="8" t="s">
        <v>7</v>
      </c>
      <c r="D95" s="9" t="e">
        <f>VLOOKUP(B95,'Nutrition Plan'!$D$116:$F$126,3,0)</f>
        <v>#N/A</v>
      </c>
      <c r="E95" s="10" t="e">
        <f>D95/(84/23)</f>
        <v>#N/A</v>
      </c>
      <c r="F95" s="11" t="e">
        <f>D95/(84/1.5)</f>
        <v>#N/A</v>
      </c>
      <c r="G95" s="10">
        <f t="shared" ref="G95:G97" si="26">0</f>
        <v>0</v>
      </c>
      <c r="H95" s="12" t="e">
        <f t="shared" si="22"/>
        <v>#N/A</v>
      </c>
      <c r="I95" s="1"/>
    </row>
    <row r="96" spans="1:9" ht="15.75" customHeight="1" thickTop="1" thickBot="1" x14ac:dyDescent="0.3">
      <c r="A96" s="1"/>
      <c r="B96" s="8" t="s">
        <v>200</v>
      </c>
      <c r="C96" s="8" t="s">
        <v>7</v>
      </c>
      <c r="D96" s="9" t="e">
        <f>VLOOKUP(B96,'Nutrition Plan'!$D$116:$F$126,3,0)</f>
        <v>#N/A</v>
      </c>
      <c r="E96" s="10" t="e">
        <f>D96/(94/26)</f>
        <v>#N/A</v>
      </c>
      <c r="F96" s="11" t="e">
        <f>D96/(94/1)</f>
        <v>#N/A</v>
      </c>
      <c r="G96" s="10">
        <f t="shared" si="26"/>
        <v>0</v>
      </c>
      <c r="H96" s="12" t="e">
        <f t="shared" si="22"/>
        <v>#N/A</v>
      </c>
      <c r="I96" s="1"/>
    </row>
    <row r="97" spans="1:9" ht="15.75" customHeight="1" thickTop="1" thickBot="1" x14ac:dyDescent="0.3">
      <c r="A97" s="1"/>
      <c r="B97" s="8" t="s">
        <v>201</v>
      </c>
      <c r="C97" s="8" t="s">
        <v>7</v>
      </c>
      <c r="D97" s="9" t="e">
        <f>VLOOKUP(B97,'Nutrition Plan'!$D$116:$F$126,3,0)</f>
        <v>#N/A</v>
      </c>
      <c r="E97" s="10" t="e">
        <f>D97/(100/31)</f>
        <v>#N/A</v>
      </c>
      <c r="F97" s="11" t="e">
        <f>D97/(100/3.8)</f>
        <v>#N/A</v>
      </c>
      <c r="G97" s="10">
        <f t="shared" si="26"/>
        <v>0</v>
      </c>
      <c r="H97" s="12" t="e">
        <f t="shared" si="22"/>
        <v>#N/A</v>
      </c>
      <c r="I97" s="1"/>
    </row>
    <row r="98" spans="1:9" ht="15.75" customHeight="1" thickTop="1" thickBot="1" x14ac:dyDescent="0.3">
      <c r="A98" s="1"/>
      <c r="B98" s="8" t="s">
        <v>202</v>
      </c>
      <c r="C98" s="8" t="s">
        <v>7</v>
      </c>
      <c r="D98" s="9" t="e">
        <f>VLOOKUP(B98,'Nutrition Plan'!$D$116:$F$126,3,0)</f>
        <v>#N/A</v>
      </c>
      <c r="E98" s="10" t="e">
        <f>D98/(28/6.57)</f>
        <v>#N/A</v>
      </c>
      <c r="F98" s="11" t="e">
        <f>D98/(28/3.14)</f>
        <v>#N/A</v>
      </c>
      <c r="G98" s="10">
        <v>0</v>
      </c>
      <c r="H98" s="12" t="e">
        <f t="shared" si="22"/>
        <v>#N/A</v>
      </c>
      <c r="I98" s="1"/>
    </row>
    <row r="99" spans="1:9" ht="15.75" customHeight="1" thickTop="1" thickBot="1" x14ac:dyDescent="0.3">
      <c r="A99" s="1"/>
      <c r="B99" s="8" t="s">
        <v>112</v>
      </c>
      <c r="C99" s="8" t="s">
        <v>22</v>
      </c>
      <c r="D99" s="9" t="e">
        <f>VLOOKUP(B99,'Nutrition Plan'!$D$116:$F$126,3,0)</f>
        <v>#N/A</v>
      </c>
      <c r="E99" s="10" t="e">
        <f>D99/(28/6)</f>
        <v>#N/A</v>
      </c>
      <c r="F99" s="11" t="e">
        <f>D99/(28/1.5)</f>
        <v>#N/A</v>
      </c>
      <c r="G99" s="10" t="e">
        <f>D99/(28/1)</f>
        <v>#N/A</v>
      </c>
      <c r="H99" s="12" t="e">
        <f t="shared" si="22"/>
        <v>#N/A</v>
      </c>
      <c r="I99" s="1"/>
    </row>
    <row r="100" spans="1:9" ht="15.75" customHeight="1" thickTop="1" thickBot="1" x14ac:dyDescent="0.3">
      <c r="A100" s="1"/>
      <c r="B100" s="8" t="s">
        <v>113</v>
      </c>
      <c r="C100" s="8" t="s">
        <v>114</v>
      </c>
      <c r="D100" s="9" t="e">
        <f>VLOOKUP(B100,'Nutrition Plan'!$D$116:$F$126,3,0)</f>
        <v>#N/A</v>
      </c>
      <c r="E100" s="10" t="e">
        <f>D100/(1/21)</f>
        <v>#N/A</v>
      </c>
      <c r="F100" s="11" t="e">
        <f t="shared" ref="F100:F101" si="27">D100/(1/9)</f>
        <v>#N/A</v>
      </c>
      <c r="G100" s="10">
        <f t="shared" ref="G100:G101" si="28">0</f>
        <v>0</v>
      </c>
      <c r="H100" s="12" t="e">
        <f t="shared" si="22"/>
        <v>#N/A</v>
      </c>
      <c r="I100" s="1"/>
    </row>
    <row r="101" spans="1:9" ht="15.75" customHeight="1" thickTop="1" thickBot="1" x14ac:dyDescent="0.3">
      <c r="A101" s="1"/>
      <c r="B101" s="8" t="s">
        <v>115</v>
      </c>
      <c r="C101" s="8" t="s">
        <v>114</v>
      </c>
      <c r="D101" s="9" t="e">
        <f>VLOOKUP(B101,'Nutrition Plan'!$D$116:$F$126,3,0)</f>
        <v>#N/A</v>
      </c>
      <c r="E101" s="10" t="e">
        <f>D101/(1/20)</f>
        <v>#N/A</v>
      </c>
      <c r="F101" s="11" t="e">
        <f t="shared" si="27"/>
        <v>#N/A</v>
      </c>
      <c r="G101" s="10">
        <f t="shared" si="28"/>
        <v>0</v>
      </c>
      <c r="H101" s="12" t="e">
        <f t="shared" si="22"/>
        <v>#N/A</v>
      </c>
      <c r="I101" s="1"/>
    </row>
    <row r="102" spans="1:9" ht="15.75" customHeight="1" thickTop="1" thickBot="1" x14ac:dyDescent="0.3">
      <c r="A102" s="1"/>
      <c r="B102" s="8" t="s">
        <v>116</v>
      </c>
      <c r="C102" s="8" t="s">
        <v>7</v>
      </c>
      <c r="D102" s="9" t="e">
        <f>VLOOKUP(B102,'Nutrition Plan'!$D$116:$F$126,3,0)</f>
        <v>#N/A</v>
      </c>
      <c r="E102" s="10" t="e">
        <f>D102/(28/6)</f>
        <v>#N/A</v>
      </c>
      <c r="F102" s="11" t="e">
        <f>D102/(28/1.5)</f>
        <v>#N/A</v>
      </c>
      <c r="G102" s="10">
        <v>0</v>
      </c>
      <c r="H102" s="12" t="e">
        <f t="shared" si="22"/>
        <v>#N/A</v>
      </c>
      <c r="I102" s="1"/>
    </row>
    <row r="103" spans="1:9" ht="15.75" customHeight="1" thickTop="1" thickBot="1" x14ac:dyDescent="0.3">
      <c r="A103" s="1"/>
      <c r="B103" s="8" t="s">
        <v>117</v>
      </c>
      <c r="C103" s="8" t="s">
        <v>7</v>
      </c>
      <c r="D103" s="9" t="e">
        <f>VLOOKUP(B103,'Nutrition Plan'!$D$116:$F$126,3,0)</f>
        <v>#N/A</v>
      </c>
      <c r="E103" s="10" t="e">
        <f>D103/(28/5.28)</f>
        <v>#N/A</v>
      </c>
      <c r="F103" s="11" t="e">
        <f>D103/(28/2.13)</f>
        <v>#N/A</v>
      </c>
      <c r="G103" s="10">
        <v>0</v>
      </c>
      <c r="H103" s="12" t="e">
        <f t="shared" si="22"/>
        <v>#N/A</v>
      </c>
      <c r="I103" s="1"/>
    </row>
    <row r="104" spans="1:9" ht="15.75" customHeight="1" thickTop="1" thickBot="1" x14ac:dyDescent="0.3">
      <c r="A104" s="1"/>
      <c r="B104" s="8" t="s">
        <v>203</v>
      </c>
      <c r="C104" s="8" t="s">
        <v>7</v>
      </c>
      <c r="D104" s="9" t="e">
        <f>VLOOKUP(B104,'Nutrition Plan'!$D$116:$F$126,3,0)</f>
        <v>#N/A</v>
      </c>
      <c r="E104" s="10" t="e">
        <f t="shared" ref="E104:E105" si="29">D104/(28/8)</f>
        <v>#N/A</v>
      </c>
      <c r="F104" s="11" t="e">
        <f t="shared" ref="F104:F105" si="30">D104/(28/3)</f>
        <v>#N/A</v>
      </c>
      <c r="G104" s="10">
        <v>0</v>
      </c>
      <c r="H104" s="12" t="e">
        <f t="shared" si="22"/>
        <v>#N/A</v>
      </c>
      <c r="I104" s="1"/>
    </row>
    <row r="105" spans="1:9" ht="15.75" customHeight="1" thickTop="1" thickBot="1" x14ac:dyDescent="0.3">
      <c r="A105" s="1"/>
      <c r="B105" s="8" t="s">
        <v>204</v>
      </c>
      <c r="C105" s="8" t="s">
        <v>7</v>
      </c>
      <c r="D105" s="9" t="e">
        <f>VLOOKUP(B105,'Nutrition Plan'!$D$116:$F$126,3,0)</f>
        <v>#N/A</v>
      </c>
      <c r="E105" s="10" t="e">
        <f t="shared" si="29"/>
        <v>#N/A</v>
      </c>
      <c r="F105" s="11" t="e">
        <f t="shared" si="30"/>
        <v>#N/A</v>
      </c>
      <c r="G105" s="10">
        <v>0</v>
      </c>
      <c r="H105" s="12" t="e">
        <f t="shared" si="22"/>
        <v>#N/A</v>
      </c>
      <c r="I105" s="1"/>
    </row>
    <row r="106" spans="1:9" ht="15.75" customHeight="1" thickTop="1" thickBot="1" x14ac:dyDescent="0.3">
      <c r="A106" s="1"/>
      <c r="B106" s="8" t="s">
        <v>205</v>
      </c>
      <c r="C106" s="8" t="s">
        <v>7</v>
      </c>
      <c r="D106" s="9" t="e">
        <f>VLOOKUP(B106,'Nutrition Plan'!$D$116:$F$126,3,0)</f>
        <v>#N/A</v>
      </c>
      <c r="E106" s="10" t="e">
        <f>D106/(100/22.7)</f>
        <v>#N/A</v>
      </c>
      <c r="F106" s="11" t="e">
        <f>D106/(100/3.8)</f>
        <v>#N/A</v>
      </c>
      <c r="G106" s="10">
        <f t="shared" ref="G106:G108" si="31">0</f>
        <v>0</v>
      </c>
      <c r="H106" s="12" t="e">
        <f t="shared" si="22"/>
        <v>#N/A</v>
      </c>
      <c r="I106" s="1"/>
    </row>
    <row r="107" spans="1:9" ht="15.75" customHeight="1" thickTop="1" thickBot="1" x14ac:dyDescent="0.3">
      <c r="A107" s="1"/>
      <c r="B107" s="8" t="s">
        <v>206</v>
      </c>
      <c r="C107" s="8" t="s">
        <v>7</v>
      </c>
      <c r="D107" s="9" t="e">
        <f>VLOOKUP(B107,'Nutrition Plan'!$D$116:$F$126,3,0)</f>
        <v>#N/A</v>
      </c>
      <c r="E107" s="10" t="e">
        <f>D107/(100/30.24)</f>
        <v>#N/A</v>
      </c>
      <c r="F107" s="11" t="e">
        <f>D107/(100/4.11)</f>
        <v>#N/A</v>
      </c>
      <c r="G107" s="10">
        <f t="shared" si="31"/>
        <v>0</v>
      </c>
      <c r="H107" s="12" t="e">
        <f t="shared" si="22"/>
        <v>#N/A</v>
      </c>
      <c r="I107" s="1"/>
    </row>
    <row r="108" spans="1:9" ht="15.75" customHeight="1" thickTop="1" thickBot="1" x14ac:dyDescent="0.3">
      <c r="A108" s="1"/>
      <c r="B108" s="8" t="s">
        <v>207</v>
      </c>
      <c r="C108" s="8" t="s">
        <v>7</v>
      </c>
      <c r="D108" s="9" t="e">
        <f>VLOOKUP(B108,'Nutrition Plan'!$D$116:$F$126,3,0)</f>
        <v>#N/A</v>
      </c>
      <c r="E108" s="10" t="e">
        <f>D108/(100/30.7)</f>
        <v>#N/A</v>
      </c>
      <c r="F108" s="11" t="e">
        <f>D108/(100/10.27)</f>
        <v>#N/A</v>
      </c>
      <c r="G108" s="10">
        <f t="shared" si="31"/>
        <v>0</v>
      </c>
      <c r="H108" s="12" t="e">
        <f t="shared" si="22"/>
        <v>#N/A</v>
      </c>
      <c r="I108" s="1"/>
    </row>
    <row r="109" spans="1:9" ht="15.75" customHeight="1" thickTop="1" x14ac:dyDescent="0.3">
      <c r="A109" s="1"/>
      <c r="B109" s="173" t="s">
        <v>36</v>
      </c>
      <c r="C109" s="174"/>
      <c r="D109" s="174"/>
      <c r="E109" s="174"/>
      <c r="F109" s="174"/>
      <c r="G109" s="174"/>
      <c r="H109" s="134"/>
      <c r="I109" s="1"/>
    </row>
    <row r="110" spans="1:9" ht="15.75" customHeight="1" thickBot="1" x14ac:dyDescent="0.3">
      <c r="A110" s="1"/>
      <c r="B110" s="8" t="s">
        <v>118</v>
      </c>
      <c r="C110" s="8" t="s">
        <v>7</v>
      </c>
      <c r="D110" s="9" t="e">
        <f>VLOOKUP(B110,'Nutrition Plan'!$D$116:$F$126,3,0)</f>
        <v>#N/A</v>
      </c>
      <c r="E110" s="10" t="e">
        <f>D110/(32.5/25)</f>
        <v>#N/A</v>
      </c>
      <c r="F110" s="11" t="e">
        <f>D110/(32.5/1)</f>
        <v>#N/A</v>
      </c>
      <c r="G110" s="10" t="e">
        <f>D110/(32.5/3)</f>
        <v>#N/A</v>
      </c>
      <c r="H110" s="12" t="e">
        <f t="shared" ref="H110:H131" si="32">(E110*4)+(F110*9)+(G110*4)</f>
        <v>#N/A</v>
      </c>
      <c r="I110" s="1"/>
    </row>
    <row r="111" spans="1:9" ht="15.75" customHeight="1" thickTop="1" thickBot="1" x14ac:dyDescent="0.3">
      <c r="A111" s="1"/>
      <c r="B111" s="8" t="s">
        <v>119</v>
      </c>
      <c r="C111" s="8" t="s">
        <v>7</v>
      </c>
      <c r="D111" s="9" t="e">
        <f>VLOOKUP(B111,'Nutrition Plan'!$D$116:$F$126,3,0)</f>
        <v>#N/A</v>
      </c>
      <c r="E111" s="10" t="e">
        <f>D111/(32/25)</f>
        <v>#N/A</v>
      </c>
      <c r="F111" s="11" t="e">
        <f>D111/(32/1.5)</f>
        <v>#N/A</v>
      </c>
      <c r="G111" s="10" t="e">
        <f>D111/(32/3)</f>
        <v>#N/A</v>
      </c>
      <c r="H111" s="12" t="e">
        <f t="shared" si="32"/>
        <v>#N/A</v>
      </c>
      <c r="I111" s="1"/>
    </row>
    <row r="112" spans="1:9" ht="15.75" customHeight="1" thickTop="1" thickBot="1" x14ac:dyDescent="0.3">
      <c r="A112" s="1"/>
      <c r="B112" s="8" t="s">
        <v>120</v>
      </c>
      <c r="C112" s="8" t="s">
        <v>7</v>
      </c>
      <c r="D112" s="9" t="e">
        <f>VLOOKUP(B112,'Nutrition Plan'!$D$116:$F$126,3,0)</f>
        <v>#N/A</v>
      </c>
      <c r="E112" s="10" t="e">
        <f>D112/(36/25)</f>
        <v>#N/A</v>
      </c>
      <c r="F112" s="11" t="e">
        <f>D112/(36/1.5)</f>
        <v>#N/A</v>
      </c>
      <c r="G112" s="10" t="e">
        <f>D112/(36/3)</f>
        <v>#N/A</v>
      </c>
      <c r="H112" s="12" t="e">
        <f t="shared" si="32"/>
        <v>#N/A</v>
      </c>
      <c r="I112" s="1"/>
    </row>
    <row r="113" spans="1:9" ht="15.75" customHeight="1" thickTop="1" thickBot="1" x14ac:dyDescent="0.3">
      <c r="A113" s="1"/>
      <c r="B113" s="8" t="s">
        <v>121</v>
      </c>
      <c r="C113" s="8" t="s">
        <v>7</v>
      </c>
      <c r="D113" s="9" t="e">
        <f>VLOOKUP(B113,'Nutrition Plan'!$D$116:$F$126,3,0)</f>
        <v>#N/A</v>
      </c>
      <c r="E113" s="10" t="e">
        <f t="shared" ref="E113:E114" si="33">D113/(33/25)</f>
        <v>#N/A</v>
      </c>
      <c r="F113" s="11" t="e">
        <f t="shared" ref="F113:F114" si="34">D113/(33/1.5)</f>
        <v>#N/A</v>
      </c>
      <c r="G113" s="10" t="e">
        <f t="shared" ref="G113:G114" si="35">D113/(33/3)</f>
        <v>#N/A</v>
      </c>
      <c r="H113" s="12" t="e">
        <f t="shared" si="32"/>
        <v>#N/A</v>
      </c>
      <c r="I113" s="1"/>
    </row>
    <row r="114" spans="1:9" ht="15.75" customHeight="1" thickTop="1" thickBot="1" x14ac:dyDescent="0.3">
      <c r="A114" s="1"/>
      <c r="B114" s="8" t="s">
        <v>122</v>
      </c>
      <c r="C114" s="8" t="s">
        <v>7</v>
      </c>
      <c r="D114" s="9" t="e">
        <f>VLOOKUP(B114,'Nutrition Plan'!$D$116:$F$126,3,0)</f>
        <v>#N/A</v>
      </c>
      <c r="E114" s="10" t="e">
        <f t="shared" si="33"/>
        <v>#N/A</v>
      </c>
      <c r="F114" s="11" t="e">
        <f t="shared" si="34"/>
        <v>#N/A</v>
      </c>
      <c r="G114" s="10" t="e">
        <f t="shared" si="35"/>
        <v>#N/A</v>
      </c>
      <c r="H114" s="12" t="e">
        <f t="shared" si="32"/>
        <v>#N/A</v>
      </c>
      <c r="I114" s="1"/>
    </row>
    <row r="115" spans="1:9" ht="15.75" customHeight="1" thickTop="1" thickBot="1" x14ac:dyDescent="0.3">
      <c r="A115" s="1"/>
      <c r="B115" s="8" t="s">
        <v>123</v>
      </c>
      <c r="C115" s="8" t="s">
        <v>7</v>
      </c>
      <c r="D115" s="9" t="e">
        <f>VLOOKUP(B115,'Nutrition Plan'!$D$116:$F$126,3,0)</f>
        <v>#N/A</v>
      </c>
      <c r="E115" s="10" t="e">
        <f>D115/(36/25)</f>
        <v>#N/A</v>
      </c>
      <c r="F115" s="11" t="e">
        <f>D115/(36/1.5)</f>
        <v>#N/A</v>
      </c>
      <c r="G115" s="10" t="e">
        <f>D115/(36/5)</f>
        <v>#N/A</v>
      </c>
      <c r="H115" s="12" t="e">
        <f t="shared" si="32"/>
        <v>#N/A</v>
      </c>
      <c r="I115" s="1"/>
    </row>
    <row r="116" spans="1:9" ht="15.75" customHeight="1" thickTop="1" thickBot="1" x14ac:dyDescent="0.3">
      <c r="A116" s="1"/>
      <c r="B116" s="8" t="s">
        <v>124</v>
      </c>
      <c r="C116" s="8" t="s">
        <v>7</v>
      </c>
      <c r="D116" s="9" t="e">
        <f>VLOOKUP(B116,'Nutrition Plan'!$D$116:$F$126,3,0)</f>
        <v>#N/A</v>
      </c>
      <c r="E116" s="10" t="e">
        <f>D116/(29/25)</f>
        <v>#N/A</v>
      </c>
      <c r="F116" s="11">
        <f>0</f>
        <v>0</v>
      </c>
      <c r="G116" s="10" t="e">
        <f>D116/(29/1)</f>
        <v>#N/A</v>
      </c>
      <c r="H116" s="12" t="e">
        <f t="shared" si="32"/>
        <v>#N/A</v>
      </c>
      <c r="I116" s="1"/>
    </row>
    <row r="117" spans="1:9" ht="15.75" customHeight="1" thickTop="1" thickBot="1" x14ac:dyDescent="0.3">
      <c r="A117" s="1"/>
      <c r="B117" s="8" t="s">
        <v>125</v>
      </c>
      <c r="C117" s="8" t="s">
        <v>7</v>
      </c>
      <c r="D117" s="9" t="e">
        <f>VLOOKUP(B117,'Nutrition Plan'!$D$116:$F$126,3,0)</f>
        <v>#N/A</v>
      </c>
      <c r="E117" s="10" t="e">
        <f>D117/(31/25)</f>
        <v>#N/A</v>
      </c>
      <c r="F117" s="11" t="e">
        <f>D117/(31/0.5)</f>
        <v>#N/A</v>
      </c>
      <c r="G117" s="10" t="e">
        <f>D117/(31/2)</f>
        <v>#N/A</v>
      </c>
      <c r="H117" s="12" t="e">
        <f t="shared" si="32"/>
        <v>#N/A</v>
      </c>
      <c r="I117" s="1"/>
    </row>
    <row r="118" spans="1:9" ht="15.75" customHeight="1" thickTop="1" thickBot="1" x14ac:dyDescent="0.3">
      <c r="A118" s="1"/>
      <c r="B118" s="8" t="s">
        <v>126</v>
      </c>
      <c r="C118" s="8" t="s">
        <v>7</v>
      </c>
      <c r="D118" s="9" t="e">
        <f>VLOOKUP(B118,'Nutrition Plan'!$D$116:$F$126,3,0)</f>
        <v>#N/A</v>
      </c>
      <c r="E118" s="10" t="e">
        <f>D118/(30.1/25)</f>
        <v>#N/A</v>
      </c>
      <c r="F118" s="11">
        <f t="shared" ref="F118:F119" si="36">0</f>
        <v>0</v>
      </c>
      <c r="G118" s="10" t="e">
        <f>D118/(30.1/1)</f>
        <v>#N/A</v>
      </c>
      <c r="H118" s="12" t="e">
        <f t="shared" si="32"/>
        <v>#N/A</v>
      </c>
      <c r="I118" s="1"/>
    </row>
    <row r="119" spans="1:9" ht="15.75" customHeight="1" thickTop="1" thickBot="1" x14ac:dyDescent="0.3">
      <c r="A119" s="1"/>
      <c r="B119" s="8" t="s">
        <v>127</v>
      </c>
      <c r="C119" s="8" t="s">
        <v>7</v>
      </c>
      <c r="D119" s="9" t="e">
        <f>VLOOKUP(B119,'Nutrition Plan'!$D$116:$F$126,3,0)</f>
        <v>#N/A</v>
      </c>
      <c r="E119" s="10" t="e">
        <f>D119/(29/25)</f>
        <v>#N/A</v>
      </c>
      <c r="F119" s="11">
        <f t="shared" si="36"/>
        <v>0</v>
      </c>
      <c r="G119" s="10" t="e">
        <f>D119/(29/1)</f>
        <v>#N/A</v>
      </c>
      <c r="H119" s="12" t="e">
        <f t="shared" si="32"/>
        <v>#N/A</v>
      </c>
      <c r="I119" s="1"/>
    </row>
    <row r="120" spans="1:9" ht="15.75" customHeight="1" thickTop="1" thickBot="1" x14ac:dyDescent="0.3">
      <c r="A120" s="1"/>
      <c r="B120" s="8" t="s">
        <v>128</v>
      </c>
      <c r="C120" s="8" t="s">
        <v>7</v>
      </c>
      <c r="D120" s="9" t="e">
        <f>VLOOKUP(B120,'Nutrition Plan'!$D$116:$F$126,3,0)</f>
        <v>#N/A</v>
      </c>
      <c r="E120" s="10" t="e">
        <f>D120/(39.5/24)</f>
        <v>#N/A</v>
      </c>
      <c r="F120" s="11" t="e">
        <f>D120/(39.5/3.5)</f>
        <v>#N/A</v>
      </c>
      <c r="G120" s="10" t="e">
        <f>D120/(39.5/8)</f>
        <v>#N/A</v>
      </c>
      <c r="H120" s="12" t="e">
        <f t="shared" si="32"/>
        <v>#N/A</v>
      </c>
      <c r="I120" s="1"/>
    </row>
    <row r="121" spans="1:9" ht="15.75" customHeight="1" thickTop="1" thickBot="1" x14ac:dyDescent="0.3">
      <c r="A121" s="1"/>
      <c r="B121" s="8" t="s">
        <v>129</v>
      </c>
      <c r="C121" s="8" t="s">
        <v>7</v>
      </c>
      <c r="D121" s="9" t="e">
        <f>VLOOKUP(B121,'Nutrition Plan'!$D$116:$F$126,3,0)</f>
        <v>#N/A</v>
      </c>
      <c r="E121" s="10" t="e">
        <f>D121/(36.5/24)</f>
        <v>#N/A</v>
      </c>
      <c r="F121" s="11" t="e">
        <f>D121/(36.5/3.5)</f>
        <v>#N/A</v>
      </c>
      <c r="G121" s="10" t="e">
        <f>D121/(36.5/5)</f>
        <v>#N/A</v>
      </c>
      <c r="H121" s="12" t="e">
        <f t="shared" si="32"/>
        <v>#N/A</v>
      </c>
      <c r="I121" s="1"/>
    </row>
    <row r="122" spans="1:9" ht="15.75" customHeight="1" thickTop="1" thickBot="1" x14ac:dyDescent="0.3">
      <c r="A122" s="1"/>
      <c r="B122" s="8" t="s">
        <v>130</v>
      </c>
      <c r="C122" s="8" t="s">
        <v>7</v>
      </c>
      <c r="D122" s="9" t="e">
        <f>VLOOKUP(B122,'Nutrition Plan'!$D$116:$F$126,3,0)</f>
        <v>#N/A</v>
      </c>
      <c r="E122" s="10" t="e">
        <f>D122/(37.1/24)</f>
        <v>#N/A</v>
      </c>
      <c r="F122" s="11" t="e">
        <f>D122/(37.1/3.5)</f>
        <v>#N/A</v>
      </c>
      <c r="G122" s="10" t="e">
        <f>D122/(37.1/6)</f>
        <v>#N/A</v>
      </c>
      <c r="H122" s="12" t="e">
        <f t="shared" si="32"/>
        <v>#N/A</v>
      </c>
      <c r="I122" s="1"/>
    </row>
    <row r="123" spans="1:9" ht="15.75" customHeight="1" thickTop="1" thickBot="1" x14ac:dyDescent="0.3">
      <c r="A123" s="1"/>
      <c r="B123" s="8" t="s">
        <v>131</v>
      </c>
      <c r="C123" s="8" t="s">
        <v>7</v>
      </c>
      <c r="D123" s="9" t="e">
        <f>VLOOKUP(B123,'Nutrition Plan'!$D$116:$F$126,3,0)</f>
        <v>#N/A</v>
      </c>
      <c r="E123" s="10" t="e">
        <f>D123/(36.3/24)</f>
        <v>#N/A</v>
      </c>
      <c r="F123" s="11" t="e">
        <f>D123/(36.3/3.5)</f>
        <v>#N/A</v>
      </c>
      <c r="G123" s="10" t="e">
        <f>D123/(36.3/5)</f>
        <v>#N/A</v>
      </c>
      <c r="H123" s="12" t="e">
        <f t="shared" si="32"/>
        <v>#N/A</v>
      </c>
      <c r="I123" s="1"/>
    </row>
    <row r="124" spans="1:9" ht="15.75" customHeight="1" thickTop="1" thickBot="1" x14ac:dyDescent="0.3">
      <c r="A124" s="1"/>
      <c r="B124" s="8" t="s">
        <v>132</v>
      </c>
      <c r="C124" s="8" t="s">
        <v>7</v>
      </c>
      <c r="D124" s="9" t="e">
        <f>VLOOKUP(B124,'Nutrition Plan'!$D$116:$F$126,3,0)</f>
        <v>#N/A</v>
      </c>
      <c r="E124" s="10" t="e">
        <f>D124/(23/20)</f>
        <v>#N/A</v>
      </c>
      <c r="F124" s="11" t="e">
        <f>D124/(23/0.56)</f>
        <v>#N/A</v>
      </c>
      <c r="G124" s="10">
        <f>0</f>
        <v>0</v>
      </c>
      <c r="H124" s="12" t="e">
        <f t="shared" si="32"/>
        <v>#N/A</v>
      </c>
      <c r="I124" s="1"/>
    </row>
    <row r="125" spans="1:9" ht="15.75" customHeight="1" thickTop="1" thickBot="1" x14ac:dyDescent="0.3">
      <c r="A125" s="1"/>
      <c r="B125" s="8" t="s">
        <v>133</v>
      </c>
      <c r="C125" s="8" t="s">
        <v>134</v>
      </c>
      <c r="D125" s="9" t="e">
        <f>VLOOKUP(B125,'Nutrition Plan'!$D$116:$F$126,3,0)</f>
        <v>#N/A</v>
      </c>
      <c r="E125" s="10" t="e">
        <f>D125/(1/23)</f>
        <v>#N/A</v>
      </c>
      <c r="F125" s="11" t="e">
        <f>D125/(1/8)</f>
        <v>#N/A</v>
      </c>
      <c r="G125" s="10" t="e">
        <f>D125/(1/21)</f>
        <v>#N/A</v>
      </c>
      <c r="H125" s="12" t="e">
        <f t="shared" si="32"/>
        <v>#N/A</v>
      </c>
      <c r="I125" s="1"/>
    </row>
    <row r="126" spans="1:9" ht="15.75" customHeight="1" thickTop="1" thickBot="1" x14ac:dyDescent="0.3">
      <c r="A126" s="1"/>
      <c r="B126" s="8" t="s">
        <v>135</v>
      </c>
      <c r="C126" s="8" t="s">
        <v>134</v>
      </c>
      <c r="D126" s="9" t="e">
        <f>VLOOKUP(B126,'Nutrition Plan'!$D$116:$F$126,3,0)</f>
        <v>#N/A</v>
      </c>
      <c r="E126" s="10" t="e">
        <f>D126/(1/13)</f>
        <v>#N/A</v>
      </c>
      <c r="F126" s="11" t="e">
        <f>D126/(1/12)</f>
        <v>#N/A</v>
      </c>
      <c r="G126" s="10" t="e">
        <f>D126/(1/10)</f>
        <v>#N/A</v>
      </c>
      <c r="H126" s="12" t="e">
        <f t="shared" si="32"/>
        <v>#N/A</v>
      </c>
      <c r="I126" s="1"/>
    </row>
    <row r="127" spans="1:9" ht="15.75" customHeight="1" thickTop="1" thickBot="1" x14ac:dyDescent="0.3">
      <c r="A127" s="1"/>
      <c r="B127" s="8" t="s">
        <v>136</v>
      </c>
      <c r="C127" s="8" t="s">
        <v>134</v>
      </c>
      <c r="D127" s="9" t="e">
        <f>VLOOKUP(B127,'Nutrition Plan'!$D$116:$F$126,3,0)</f>
        <v>#N/A</v>
      </c>
      <c r="E127" s="10" t="e">
        <f t="shared" ref="E127:E128" si="37">D127/(1/21)</f>
        <v>#N/A</v>
      </c>
      <c r="F127" s="11" t="e">
        <f>D127/(1/8)</f>
        <v>#N/A</v>
      </c>
      <c r="G127" s="10" t="e">
        <f t="shared" ref="G127:G128" si="38">D127/(1/5)</f>
        <v>#N/A</v>
      </c>
      <c r="H127" s="12" t="e">
        <f t="shared" si="32"/>
        <v>#N/A</v>
      </c>
      <c r="I127" s="1"/>
    </row>
    <row r="128" spans="1:9" ht="15.75" customHeight="1" thickTop="1" thickBot="1" x14ac:dyDescent="0.3">
      <c r="A128" s="1"/>
      <c r="B128" s="8" t="s">
        <v>137</v>
      </c>
      <c r="C128" s="8" t="s">
        <v>134</v>
      </c>
      <c r="D128" s="9" t="e">
        <f>VLOOKUP(B128,'Nutrition Plan'!$D$116:$F$126,3,0)</f>
        <v>#N/A</v>
      </c>
      <c r="E128" s="10" t="e">
        <f t="shared" si="37"/>
        <v>#N/A</v>
      </c>
      <c r="F128" s="11" t="e">
        <f>D128/(1/7)</f>
        <v>#N/A</v>
      </c>
      <c r="G128" s="10" t="e">
        <f t="shared" si="38"/>
        <v>#N/A</v>
      </c>
      <c r="H128" s="12" t="e">
        <f t="shared" si="32"/>
        <v>#N/A</v>
      </c>
      <c r="I128" s="1"/>
    </row>
    <row r="129" spans="1:9" ht="15.75" customHeight="1" thickTop="1" thickBot="1" x14ac:dyDescent="0.3">
      <c r="A129" s="1"/>
      <c r="B129" s="8" t="s">
        <v>138</v>
      </c>
      <c r="C129" s="8" t="s">
        <v>134</v>
      </c>
      <c r="D129" s="9" t="e">
        <f>VLOOKUP(B129,'Nutrition Plan'!$D$116:$F$126,3,0)</f>
        <v>#N/A</v>
      </c>
      <c r="E129" s="10" t="e">
        <f t="shared" ref="E129:E131" si="39">D129/(1/20)</f>
        <v>#N/A</v>
      </c>
      <c r="F129" s="11" t="e">
        <f>D129/(1/9)</f>
        <v>#N/A</v>
      </c>
      <c r="G129" s="10" t="e">
        <f>D129/(1/4)</f>
        <v>#N/A</v>
      </c>
      <c r="H129" s="12" t="e">
        <f t="shared" si="32"/>
        <v>#N/A</v>
      </c>
      <c r="I129" s="1"/>
    </row>
    <row r="130" spans="1:9" ht="15.75" customHeight="1" thickTop="1" thickBot="1" x14ac:dyDescent="0.3">
      <c r="A130" s="1"/>
      <c r="B130" s="8" t="s">
        <v>139</v>
      </c>
      <c r="C130" s="8" t="s">
        <v>134</v>
      </c>
      <c r="D130" s="9" t="e">
        <f>VLOOKUP(B130,'Nutrition Plan'!$D$116:$F$126,3,0)</f>
        <v>#N/A</v>
      </c>
      <c r="E130" s="10" t="e">
        <f t="shared" si="39"/>
        <v>#N/A</v>
      </c>
      <c r="F130" s="11" t="e">
        <f t="shared" ref="F130:F131" si="40">D130/(1/8)</f>
        <v>#N/A</v>
      </c>
      <c r="G130" s="10" t="e">
        <f t="shared" ref="G130:G131" si="41">D130/(1/22)</f>
        <v>#N/A</v>
      </c>
      <c r="H130" s="12" t="e">
        <f t="shared" si="32"/>
        <v>#N/A</v>
      </c>
      <c r="I130" s="1"/>
    </row>
    <row r="131" spans="1:9" ht="15.75" customHeight="1" thickTop="1" thickBot="1" x14ac:dyDescent="0.3">
      <c r="A131" s="1"/>
      <c r="B131" s="8" t="s">
        <v>140</v>
      </c>
      <c r="C131" s="8" t="s">
        <v>134</v>
      </c>
      <c r="D131" s="9" t="e">
        <f>VLOOKUP(B131,'Nutrition Plan'!$D$116:$F$126,3,0)</f>
        <v>#N/A</v>
      </c>
      <c r="E131" s="10" t="e">
        <f t="shared" si="39"/>
        <v>#N/A</v>
      </c>
      <c r="F131" s="11" t="e">
        <f t="shared" si="40"/>
        <v>#N/A</v>
      </c>
      <c r="G131" s="10" t="e">
        <f t="shared" si="41"/>
        <v>#N/A</v>
      </c>
      <c r="H131" s="12" t="e">
        <f t="shared" si="32"/>
        <v>#N/A</v>
      </c>
      <c r="I131" s="1"/>
    </row>
    <row r="132" spans="1:9" ht="15.75" customHeight="1" thickTop="1" x14ac:dyDescent="0.3">
      <c r="A132" s="1"/>
      <c r="B132" s="173" t="s">
        <v>37</v>
      </c>
      <c r="C132" s="174"/>
      <c r="D132" s="174"/>
      <c r="E132" s="174"/>
      <c r="F132" s="174"/>
      <c r="G132" s="174"/>
      <c r="H132" s="134"/>
      <c r="I132" s="1"/>
    </row>
    <row r="133" spans="1:9" ht="15.75" customHeight="1" thickBot="1" x14ac:dyDescent="0.3">
      <c r="A133" s="1"/>
      <c r="B133" s="8" t="s">
        <v>141</v>
      </c>
      <c r="C133" s="8" t="s">
        <v>7</v>
      </c>
      <c r="D133" s="9" t="e">
        <f>VLOOKUP(B133,'Nutrition Plan'!$D$116:$F$126,3,0)</f>
        <v>#N/A</v>
      </c>
      <c r="E133" s="10" t="e">
        <f>D133/(100/0.2)</f>
        <v>#N/A</v>
      </c>
      <c r="F133" s="11" t="e">
        <f>D133/(100/0.18)</f>
        <v>#N/A</v>
      </c>
      <c r="G133" s="10" t="e">
        <f>D133/(100/15.22)</f>
        <v>#N/A</v>
      </c>
      <c r="H133" s="12" t="e">
        <f t="shared" ref="H133:H159" si="42">(E133*4)+(F133*9)+(G133*4)</f>
        <v>#N/A</v>
      </c>
      <c r="I133" s="1"/>
    </row>
    <row r="134" spans="1:9" ht="15.75" customHeight="1" thickTop="1" thickBot="1" x14ac:dyDescent="0.3">
      <c r="A134" s="1"/>
      <c r="B134" s="8" t="s">
        <v>142</v>
      </c>
      <c r="C134" s="8" t="s">
        <v>7</v>
      </c>
      <c r="D134" s="9" t="e">
        <f>VLOOKUP(B134,'Nutrition Plan'!$D$116:$F$126,3,0)</f>
        <v>#N/A</v>
      </c>
      <c r="E134" s="10" t="e">
        <f>D134/(100/0.25)</f>
        <v>#N/A</v>
      </c>
      <c r="F134" s="11" t="e">
        <f>D134/(100/0.12)</f>
        <v>#N/A</v>
      </c>
      <c r="G134" s="10" t="e">
        <f>D134/(100/13.68)</f>
        <v>#N/A</v>
      </c>
      <c r="H134" s="12" t="e">
        <f t="shared" si="42"/>
        <v>#N/A</v>
      </c>
      <c r="I134" s="1"/>
    </row>
    <row r="135" spans="1:9" ht="15.75" customHeight="1" thickTop="1" thickBot="1" x14ac:dyDescent="0.3">
      <c r="A135" s="1"/>
      <c r="B135" s="8" t="s">
        <v>143</v>
      </c>
      <c r="C135" s="8" t="s">
        <v>7</v>
      </c>
      <c r="D135" s="9" t="e">
        <f>VLOOKUP(B135,'Nutrition Plan'!$D$116:$F$126,3,0)</f>
        <v>#N/A</v>
      </c>
      <c r="E135" s="10" t="e">
        <f>D135/(100/0.44)</f>
        <v>#N/A</v>
      </c>
      <c r="F135" s="11" t="e">
        <f>D135/(100/0.19)</f>
        <v>#N/A</v>
      </c>
      <c r="G135" s="10" t="e">
        <f>D135/(100/13.61)</f>
        <v>#N/A</v>
      </c>
      <c r="H135" s="12" t="e">
        <f t="shared" si="42"/>
        <v>#N/A</v>
      </c>
      <c r="I135" s="1"/>
    </row>
    <row r="136" spans="1:9" ht="15.75" customHeight="1" thickTop="1" thickBot="1" x14ac:dyDescent="0.3">
      <c r="A136" s="1"/>
      <c r="B136" s="8" t="s">
        <v>144</v>
      </c>
      <c r="C136" s="8" t="s">
        <v>7</v>
      </c>
      <c r="D136" s="9" t="e">
        <f>VLOOKUP(B136,'Nutrition Plan'!$D$116:$F$126,3,0)</f>
        <v>#N/A</v>
      </c>
      <c r="E136" s="10">
        <v>0</v>
      </c>
      <c r="F136" s="11">
        <v>0</v>
      </c>
      <c r="G136" s="10" t="e">
        <f>D136/(122/13)</f>
        <v>#N/A</v>
      </c>
      <c r="H136" s="12" t="e">
        <f t="shared" si="42"/>
        <v>#N/A</v>
      </c>
      <c r="I136" s="1"/>
    </row>
    <row r="137" spans="1:9" ht="15.75" customHeight="1" thickTop="1" thickBot="1" x14ac:dyDescent="0.3">
      <c r="A137" s="1"/>
      <c r="B137" s="8" t="s">
        <v>145</v>
      </c>
      <c r="C137" s="8" t="s">
        <v>7</v>
      </c>
      <c r="D137" s="9" t="e">
        <f>VLOOKUP(B137,'Nutrition Plan'!$D$116:$F$126,3,0)</f>
        <v>#N/A</v>
      </c>
      <c r="E137" s="10" t="e">
        <f>D137/(100/2)</f>
        <v>#N/A</v>
      </c>
      <c r="F137" s="11" t="e">
        <f>D137/(100/14.66)</f>
        <v>#N/A</v>
      </c>
      <c r="G137" s="10" t="e">
        <f>D137/(100/8.53)</f>
        <v>#N/A</v>
      </c>
      <c r="H137" s="12" t="e">
        <f t="shared" si="42"/>
        <v>#N/A</v>
      </c>
      <c r="I137" s="1"/>
    </row>
    <row r="138" spans="1:9" ht="15.75" customHeight="1" thickTop="1" thickBot="1" x14ac:dyDescent="0.3">
      <c r="A138" s="1"/>
      <c r="B138" s="8" t="s">
        <v>146</v>
      </c>
      <c r="C138" s="8" t="s">
        <v>7</v>
      </c>
      <c r="D138" s="9" t="e">
        <f>VLOOKUP(B138,'Nutrition Plan'!$D$116:$F$126,3,0)</f>
        <v>#N/A</v>
      </c>
      <c r="E138" s="10" t="e">
        <f>D138/(100/1.1)</f>
        <v>#N/A</v>
      </c>
      <c r="F138" s="11" t="e">
        <f t="shared" ref="F138:F139" si="43">D138/(100/0.33)</f>
        <v>#N/A</v>
      </c>
      <c r="G138" s="10" t="e">
        <f>D138/(100/22.84)</f>
        <v>#N/A</v>
      </c>
      <c r="H138" s="12" t="e">
        <f t="shared" si="42"/>
        <v>#N/A</v>
      </c>
      <c r="I138" s="1"/>
    </row>
    <row r="139" spans="1:9" ht="15.75" customHeight="1" thickTop="1" thickBot="1" x14ac:dyDescent="0.3">
      <c r="A139" s="1"/>
      <c r="B139" s="8" t="s">
        <v>147</v>
      </c>
      <c r="C139" s="8" t="s">
        <v>7</v>
      </c>
      <c r="D139" s="9" t="e">
        <f>VLOOKUP(B139,'Nutrition Plan'!$D$116:$F$126,3,0)</f>
        <v>#N/A</v>
      </c>
      <c r="E139" s="10" t="e">
        <f>D139/(100/0.74)</f>
        <v>#N/A</v>
      </c>
      <c r="F139" s="11" t="e">
        <f t="shared" si="43"/>
        <v>#N/A</v>
      </c>
      <c r="G139" s="10" t="e">
        <f>D139/(100/14.49)</f>
        <v>#N/A</v>
      </c>
      <c r="H139" s="12" t="e">
        <f t="shared" si="42"/>
        <v>#N/A</v>
      </c>
      <c r="I139" s="1"/>
    </row>
    <row r="140" spans="1:9" ht="15.75" customHeight="1" thickTop="1" thickBot="1" x14ac:dyDescent="0.3">
      <c r="A140" s="1"/>
      <c r="B140" s="8" t="s">
        <v>148</v>
      </c>
      <c r="C140" s="8" t="s">
        <v>7</v>
      </c>
      <c r="D140" s="9" t="e">
        <f>VLOOKUP(B140,'Nutrition Plan'!$D$116:$F$126,3,0)</f>
        <v>#N/A</v>
      </c>
      <c r="E140" s="10" t="e">
        <f>D140/(28/0.18)</f>
        <v>#N/A</v>
      </c>
      <c r="F140" s="11" t="e">
        <f>D140/(28/0.03)</f>
        <v>#N/A</v>
      </c>
      <c r="G140" s="10" t="e">
        <f>D140/(28/2.26)</f>
        <v>#N/A</v>
      </c>
      <c r="H140" s="12" t="e">
        <f t="shared" si="42"/>
        <v>#N/A</v>
      </c>
      <c r="I140" s="1"/>
    </row>
    <row r="141" spans="1:9" ht="15.75" customHeight="1" thickTop="1" thickBot="1" x14ac:dyDescent="0.3">
      <c r="A141" s="1"/>
      <c r="B141" s="8" t="s">
        <v>149</v>
      </c>
      <c r="C141" s="8" t="s">
        <v>7</v>
      </c>
      <c r="D141" s="9" t="e">
        <f>VLOOKUP(B141,'Nutrition Plan'!$D$116:$F$126,3,0)</f>
        <v>#N/A</v>
      </c>
      <c r="E141" s="10" t="e">
        <f>D141/(100/0.72)</f>
        <v>#N/A</v>
      </c>
      <c r="F141" s="11" t="e">
        <f>D141/(100/0.16)</f>
        <v>#N/A</v>
      </c>
      <c r="G141" s="10" t="e">
        <f>D141/(100/18.1)</f>
        <v>#N/A</v>
      </c>
      <c r="H141" s="12" t="e">
        <f t="shared" si="42"/>
        <v>#N/A</v>
      </c>
      <c r="I141" s="1"/>
    </row>
    <row r="142" spans="1:9" ht="15.75" customHeight="1" thickTop="1" thickBot="1" x14ac:dyDescent="0.3">
      <c r="A142" s="1"/>
      <c r="B142" s="8" t="s">
        <v>150</v>
      </c>
      <c r="C142" s="8" t="s">
        <v>7</v>
      </c>
      <c r="D142" s="9" t="e">
        <f>VLOOKUP(B142,'Nutrition Plan'!$D$116:$F$126,3,0)</f>
        <v>#N/A</v>
      </c>
      <c r="E142" s="10" t="e">
        <f>D142/(28/0.32)</f>
        <v>#N/A</v>
      </c>
      <c r="F142" s="11" t="e">
        <f>D142/(28/0.15)</f>
        <v>#N/A</v>
      </c>
      <c r="G142" s="10" t="e">
        <f>D142/(28/4.1)</f>
        <v>#N/A</v>
      </c>
      <c r="H142" s="12" t="e">
        <f t="shared" si="42"/>
        <v>#N/A</v>
      </c>
      <c r="I142" s="1"/>
    </row>
    <row r="143" spans="1:9" ht="15.75" customHeight="1" thickTop="1" thickBot="1" x14ac:dyDescent="0.3">
      <c r="A143" s="1"/>
      <c r="B143" s="8" t="s">
        <v>151</v>
      </c>
      <c r="C143" s="8" t="s">
        <v>7</v>
      </c>
      <c r="D143" s="9" t="e">
        <f>VLOOKUP(B143,'Nutrition Plan'!$D$116:$F$126,3,0)</f>
        <v>#N/A</v>
      </c>
      <c r="E143" s="10" t="e">
        <f>D143/(28/0.23)</f>
        <v>#N/A</v>
      </c>
      <c r="F143" s="11" t="e">
        <f>D143/(28/0.11)</f>
        <v>#N/A</v>
      </c>
      <c r="G143" s="10" t="e">
        <f>D143/(28/4.2)</f>
        <v>#N/A</v>
      </c>
      <c r="H143" s="12" t="e">
        <f t="shared" si="42"/>
        <v>#N/A</v>
      </c>
      <c r="I143" s="1"/>
    </row>
    <row r="144" spans="1:9" ht="15.75" customHeight="1" thickTop="1" thickBot="1" x14ac:dyDescent="0.3">
      <c r="A144" s="1"/>
      <c r="B144" s="8" t="s">
        <v>152</v>
      </c>
      <c r="C144" s="8" t="s">
        <v>7</v>
      </c>
      <c r="D144" s="9" t="e">
        <f>VLOOKUP(B144,'Nutrition Plan'!$D$116:$F$126,3,0)</f>
        <v>#N/A</v>
      </c>
      <c r="E144" s="10" t="e">
        <f>D144/(28/0.3)</f>
        <v>#N/A</v>
      </c>
      <c r="F144" s="11" t="e">
        <f>D144/(28/0.09)</f>
        <v>#N/A</v>
      </c>
      <c r="G144" s="10" t="e">
        <f>D144/(28/3)</f>
        <v>#N/A</v>
      </c>
      <c r="H144" s="12" t="e">
        <f t="shared" si="42"/>
        <v>#N/A</v>
      </c>
      <c r="I144" s="1"/>
    </row>
    <row r="145" spans="1:9" ht="15.75" customHeight="1" thickTop="1" thickBot="1" x14ac:dyDescent="0.3">
      <c r="A145" s="1"/>
      <c r="B145" s="8" t="s">
        <v>153</v>
      </c>
      <c r="C145" s="8" t="s">
        <v>7</v>
      </c>
      <c r="D145" s="9" t="e">
        <f>VLOOKUP(B145,'Nutrition Plan'!$D$116:$F$126,3,0)</f>
        <v>#N/A</v>
      </c>
      <c r="E145" s="10" t="e">
        <f>D145/(28/0.26)</f>
        <v>#N/A</v>
      </c>
      <c r="F145" s="11" t="e">
        <f>D145/(28/0.03)</f>
        <v>#N/A</v>
      </c>
      <c r="G145" s="10" t="e">
        <f>D145/(28/3.3)</f>
        <v>#N/A</v>
      </c>
      <c r="H145" s="12" t="e">
        <f t="shared" si="42"/>
        <v>#N/A</v>
      </c>
      <c r="I145" s="1"/>
    </row>
    <row r="146" spans="1:9" ht="15.75" customHeight="1" thickTop="1" thickBot="1" x14ac:dyDescent="0.3">
      <c r="A146" s="1"/>
      <c r="B146" s="8" t="s">
        <v>154</v>
      </c>
      <c r="C146" s="8" t="s">
        <v>7</v>
      </c>
      <c r="D146" s="9" t="e">
        <f>VLOOKUP(B146,'Nutrition Plan'!$D$116:$F$126,3,0)</f>
        <v>#N/A</v>
      </c>
      <c r="E146" s="10" t="e">
        <f>D146/(28/0.25)</f>
        <v>#N/A</v>
      </c>
      <c r="F146" s="11" t="e">
        <f>D146/(28/0.07)</f>
        <v>#N/A</v>
      </c>
      <c r="G146" s="10" t="e">
        <f>D146/(28/2.67)</f>
        <v>#N/A</v>
      </c>
      <c r="H146" s="12" t="e">
        <f t="shared" si="42"/>
        <v>#N/A</v>
      </c>
      <c r="I146" s="1"/>
    </row>
    <row r="147" spans="1:9" ht="15.75" customHeight="1" thickTop="1" thickBot="1" x14ac:dyDescent="0.3">
      <c r="A147" s="1"/>
      <c r="B147" s="8" t="s">
        <v>155</v>
      </c>
      <c r="C147" s="8" t="s">
        <v>7</v>
      </c>
      <c r="D147" s="9" t="e">
        <f>VLOOKUP(B147,'Nutrition Plan'!$D$116:$F$126,3,0)</f>
        <v>#N/A</v>
      </c>
      <c r="E147" s="10" t="e">
        <f>D147/(28/0.15)</f>
        <v>#N/A</v>
      </c>
      <c r="F147" s="11" t="e">
        <f>D147/(28/0.03)</f>
        <v>#N/A</v>
      </c>
      <c r="G147" s="10" t="e">
        <f>D147/(28/3.67)</f>
        <v>#N/A</v>
      </c>
      <c r="H147" s="12" t="e">
        <f t="shared" si="42"/>
        <v>#N/A</v>
      </c>
      <c r="I147" s="1"/>
    </row>
    <row r="148" spans="1:9" ht="15.75" customHeight="1" thickTop="1" thickBot="1" x14ac:dyDescent="0.3">
      <c r="A148" s="1"/>
      <c r="B148" s="8" t="s">
        <v>156</v>
      </c>
      <c r="C148" s="8" t="s">
        <v>7</v>
      </c>
      <c r="D148" s="9" t="e">
        <f>VLOOKUP(B148,'Nutrition Plan'!$D$116:$F$126,3,0)</f>
        <v>#N/A</v>
      </c>
      <c r="E148" s="10" t="e">
        <f>D148/(28/0.2)</f>
        <v>#N/A</v>
      </c>
      <c r="F148" s="11" t="e">
        <f>D148/(28/0.08)</f>
        <v>#N/A</v>
      </c>
      <c r="G148" s="10" t="e">
        <f>D148/(28/3.2)</f>
        <v>#N/A</v>
      </c>
      <c r="H148" s="12" t="e">
        <f t="shared" si="42"/>
        <v>#N/A</v>
      </c>
      <c r="I148" s="1"/>
    </row>
    <row r="149" spans="1:9" ht="15.75" customHeight="1" thickTop="1" thickBot="1" x14ac:dyDescent="0.3">
      <c r="A149" s="1"/>
      <c r="B149" s="8" t="s">
        <v>157</v>
      </c>
      <c r="C149" s="8" t="s">
        <v>7</v>
      </c>
      <c r="D149" s="9" t="e">
        <f>VLOOKUP(B149,'Nutrition Plan'!$D$116:$F$126,3,0)</f>
        <v>#N/A</v>
      </c>
      <c r="E149" s="10" t="e">
        <f>D149/(100/1.2)</f>
        <v>#N/A</v>
      </c>
      <c r="F149" s="11" t="e">
        <f>D149/(100/0.65)</f>
        <v>#N/A</v>
      </c>
      <c r="G149" s="10" t="e">
        <f>D149/(100/11.4)</f>
        <v>#N/A</v>
      </c>
      <c r="H149" s="12" t="e">
        <f t="shared" si="42"/>
        <v>#N/A</v>
      </c>
      <c r="I149" s="1"/>
    </row>
    <row r="150" spans="1:9" ht="15.75" customHeight="1" thickTop="1" thickBot="1" x14ac:dyDescent="0.3">
      <c r="A150" s="1"/>
      <c r="B150" s="8" t="s">
        <v>158</v>
      </c>
      <c r="C150" s="8" t="s">
        <v>7</v>
      </c>
      <c r="D150" s="9" t="e">
        <f>VLOOKUP(B150,'Nutrition Plan'!$D$116:$F$126,3,0)</f>
        <v>#N/A</v>
      </c>
      <c r="E150" s="10" t="e">
        <f>D150/(28/0.19)</f>
        <v>#N/A</v>
      </c>
      <c r="F150" s="11" t="e">
        <f>D150/(28/0.08)</f>
        <v>#N/A</v>
      </c>
      <c r="G150" s="10" t="e">
        <f>D150/(28/2.15)</f>
        <v>#N/A</v>
      </c>
      <c r="H150" s="12" t="e">
        <f t="shared" si="42"/>
        <v>#N/A</v>
      </c>
      <c r="I150" s="1"/>
    </row>
    <row r="151" spans="1:9" ht="15.75" customHeight="1" thickTop="1" thickBot="1" x14ac:dyDescent="0.3">
      <c r="A151" s="1"/>
      <c r="B151" s="8" t="s">
        <v>159</v>
      </c>
      <c r="C151" s="8" t="s">
        <v>7</v>
      </c>
      <c r="D151" s="9" t="e">
        <f>VLOOKUP(B151,'Nutrition Plan'!$D$116:$F$126,3,0)</f>
        <v>#N/A</v>
      </c>
      <c r="E151" s="10" t="e">
        <f>D151/(100/0.61)</f>
        <v>#N/A</v>
      </c>
      <c r="F151" s="11" t="e">
        <f>D151/(100/0.15)</f>
        <v>#N/A</v>
      </c>
      <c r="G151" s="10" t="e">
        <f>D151/(100/7.55)</f>
        <v>#N/A</v>
      </c>
      <c r="H151" s="12" t="e">
        <f t="shared" si="42"/>
        <v>#N/A</v>
      </c>
      <c r="I151" s="1"/>
    </row>
    <row r="152" spans="1:9" ht="15.75" customHeight="1" thickTop="1" thickBot="1" x14ac:dyDescent="0.3">
      <c r="A152" s="1"/>
      <c r="B152" s="8" t="s">
        <v>160</v>
      </c>
      <c r="C152" s="8" t="s">
        <v>7</v>
      </c>
      <c r="D152" s="9" t="e">
        <f>VLOOKUP(B152,'Nutrition Plan'!$D$116:$F$126,3,0)</f>
        <v>#N/A</v>
      </c>
      <c r="E152" s="10" t="e">
        <f>D152/(28/4)</f>
        <v>#N/A</v>
      </c>
      <c r="F152" s="11" t="e">
        <f>D152/(28/2.2)</f>
        <v>#N/A</v>
      </c>
      <c r="G152" s="10" t="e">
        <f>D152/(28/1)</f>
        <v>#N/A</v>
      </c>
      <c r="H152" s="12" t="e">
        <f t="shared" si="42"/>
        <v>#N/A</v>
      </c>
      <c r="I152" s="1"/>
    </row>
    <row r="153" spans="1:9" ht="15.75" customHeight="1" thickTop="1" thickBot="1" x14ac:dyDescent="0.3">
      <c r="A153" s="1"/>
      <c r="B153" s="8" t="s">
        <v>161</v>
      </c>
      <c r="C153" s="8" t="s">
        <v>7</v>
      </c>
      <c r="D153" s="9" t="e">
        <f>VLOOKUP(B153,'Nutrition Plan'!$D$116:$F$126,3,0)</f>
        <v>#N/A</v>
      </c>
      <c r="E153" s="10" t="e">
        <f>D153/(28/0.67)</f>
        <v>#N/A</v>
      </c>
      <c r="F153" s="11" t="e">
        <f>D153/(28/0.06)</f>
        <v>#N/A</v>
      </c>
      <c r="G153" s="10" t="e">
        <f>D153/(28/1.15)</f>
        <v>#N/A</v>
      </c>
      <c r="H153" s="12" t="e">
        <f t="shared" si="42"/>
        <v>#N/A</v>
      </c>
      <c r="I153" s="1"/>
    </row>
    <row r="154" spans="1:9" ht="15.75" customHeight="1" thickTop="1" thickBot="1" x14ac:dyDescent="0.3">
      <c r="A154" s="1"/>
      <c r="B154" s="8" t="s">
        <v>162</v>
      </c>
      <c r="C154" s="8" t="s">
        <v>7</v>
      </c>
      <c r="D154" s="9" t="e">
        <f>VLOOKUP(B154,'Nutrition Plan'!$D$116:$F$126,3,0)</f>
        <v>#N/A</v>
      </c>
      <c r="E154" s="10" t="e">
        <f>D154/(28/0.87)</f>
        <v>#N/A</v>
      </c>
      <c r="F154" s="11" t="e">
        <f t="shared" ref="F154:F155" si="44">D154/(28/0.03)</f>
        <v>#N/A</v>
      </c>
      <c r="G154" s="10" t="e">
        <f>D154/(28/1.5)</f>
        <v>#N/A</v>
      </c>
      <c r="H154" s="12" t="e">
        <f t="shared" si="42"/>
        <v>#N/A</v>
      </c>
      <c r="I154" s="1"/>
    </row>
    <row r="155" spans="1:9" ht="15.75" customHeight="1" thickTop="1" thickBot="1" x14ac:dyDescent="0.3">
      <c r="A155" s="1"/>
      <c r="B155" s="8" t="s">
        <v>163</v>
      </c>
      <c r="C155" s="8" t="s">
        <v>7</v>
      </c>
      <c r="D155" s="9" t="e">
        <f>VLOOKUP(B155,'Nutrition Plan'!$D$116:$F$126,3,0)</f>
        <v>#N/A</v>
      </c>
      <c r="E155" s="10" t="e">
        <f>D155/(28/0.36)</f>
        <v>#N/A</v>
      </c>
      <c r="F155" s="11" t="e">
        <f t="shared" si="44"/>
        <v>#N/A</v>
      </c>
      <c r="G155" s="10" t="e">
        <f>D155/(28/1.62)</f>
        <v>#N/A</v>
      </c>
      <c r="H155" s="12" t="e">
        <f t="shared" si="42"/>
        <v>#N/A</v>
      </c>
      <c r="I155" s="1"/>
    </row>
    <row r="156" spans="1:9" ht="15.75" customHeight="1" thickTop="1" thickBot="1" x14ac:dyDescent="0.3">
      <c r="A156" s="1"/>
      <c r="B156" s="8" t="s">
        <v>164</v>
      </c>
      <c r="C156" s="8" t="s">
        <v>7</v>
      </c>
      <c r="D156" s="9" t="e">
        <f>VLOOKUP(B156,'Nutrition Plan'!$D$116:$F$126,3,0)</f>
        <v>#N/A</v>
      </c>
      <c r="E156" s="10" t="e">
        <f>D156/(28/0.54)</f>
        <v>#N/A</v>
      </c>
      <c r="F156" s="11" t="e">
        <f t="shared" ref="F156:F157" si="45">D156/(28/0.08)</f>
        <v>#N/A</v>
      </c>
      <c r="G156" s="10" t="e">
        <f>D156/(28/1.4)</f>
        <v>#N/A</v>
      </c>
      <c r="H156" s="12" t="e">
        <f t="shared" si="42"/>
        <v>#N/A</v>
      </c>
      <c r="I156" s="1"/>
    </row>
    <row r="157" spans="1:9" ht="15.75" customHeight="1" thickTop="1" thickBot="1" x14ac:dyDescent="0.3">
      <c r="A157" s="1"/>
      <c r="B157" s="8" t="s">
        <v>165</v>
      </c>
      <c r="C157" s="8" t="s">
        <v>7</v>
      </c>
      <c r="D157" s="9" t="e">
        <f>VLOOKUP(B157,'Nutrition Plan'!$D$116:$F$126,3,0)</f>
        <v>#N/A</v>
      </c>
      <c r="E157" s="10" t="e">
        <f>D157/(28/0.34)</f>
        <v>#N/A</v>
      </c>
      <c r="F157" s="11" t="e">
        <f t="shared" si="45"/>
        <v>#N/A</v>
      </c>
      <c r="G157" s="10" t="e">
        <f>D157/(28/0.92)</f>
        <v>#N/A</v>
      </c>
      <c r="H157" s="12" t="e">
        <f t="shared" si="42"/>
        <v>#N/A</v>
      </c>
      <c r="I157" s="1"/>
    </row>
    <row r="158" spans="1:9" ht="15.75" customHeight="1" thickTop="1" thickBot="1" x14ac:dyDescent="0.3">
      <c r="A158" s="1"/>
      <c r="B158" s="8" t="s">
        <v>166</v>
      </c>
      <c r="C158" s="8" t="s">
        <v>7</v>
      </c>
      <c r="D158" s="9" t="e">
        <f>VLOOKUP(B158,'Nutrition Plan'!$D$116:$F$126,3,0)</f>
        <v>#N/A</v>
      </c>
      <c r="E158" s="10" t="e">
        <f>D158/(28/1.12)</f>
        <v>#N/A</v>
      </c>
      <c r="F158" s="11" t="e">
        <f>D158/(28/0.24)</f>
        <v>#N/A</v>
      </c>
      <c r="G158" s="10" t="e">
        <f>D158/(28/1.34)</f>
        <v>#N/A</v>
      </c>
      <c r="H158" s="12" t="e">
        <f t="shared" si="42"/>
        <v>#N/A</v>
      </c>
      <c r="I158" s="1"/>
    </row>
    <row r="159" spans="1:9" ht="15.75" customHeight="1" thickTop="1" thickBot="1" x14ac:dyDescent="0.3">
      <c r="A159" s="1"/>
      <c r="B159" s="8" t="s">
        <v>167</v>
      </c>
      <c r="C159" s="8" t="s">
        <v>7</v>
      </c>
      <c r="D159" s="9" t="e">
        <f>VLOOKUP(B159,'Nutrition Plan'!$D$116:$F$126,3,0)</f>
        <v>#N/A</v>
      </c>
      <c r="E159" s="10" t="e">
        <f>D159/(28/0.34)</f>
        <v>#N/A</v>
      </c>
      <c r="F159" s="11" t="e">
        <f>D159/(28/0.09)</f>
        <v>#N/A</v>
      </c>
      <c r="G159" s="10" t="e">
        <f>D159/(28/0.87)</f>
        <v>#N/A</v>
      </c>
      <c r="H159" s="12" t="e">
        <f t="shared" si="42"/>
        <v>#N/A</v>
      </c>
      <c r="I159" s="1"/>
    </row>
    <row r="160" spans="1:9" ht="15.75" customHeight="1" thickTop="1" x14ac:dyDescent="0.25">
      <c r="A160" s="1"/>
      <c r="B160" s="1"/>
      <c r="C160" s="1"/>
      <c r="D160" s="1"/>
      <c r="E160" s="1"/>
      <c r="F160" s="1"/>
      <c r="G160" s="1"/>
      <c r="H160" s="1"/>
      <c r="I160" s="1"/>
    </row>
    <row r="161" spans="1:1" ht="15.75" customHeight="1" x14ac:dyDescent="0.25">
      <c r="A161" s="7"/>
    </row>
    <row r="162" spans="1:1" ht="15.75" customHeight="1" x14ac:dyDescent="0.25">
      <c r="A162" s="7"/>
    </row>
    <row r="163" spans="1:1" ht="15.75" customHeight="1" x14ac:dyDescent="0.25">
      <c r="A163" s="7"/>
    </row>
    <row r="164" spans="1:1" ht="15.75" customHeight="1" x14ac:dyDescent="0.25">
      <c r="A164" s="7"/>
    </row>
    <row r="165" spans="1:1" ht="15.75" customHeight="1" x14ac:dyDescent="0.25">
      <c r="A165" s="7"/>
    </row>
    <row r="166" spans="1:1" ht="15.75" customHeight="1" x14ac:dyDescent="0.25">
      <c r="A166" s="7"/>
    </row>
    <row r="167" spans="1:1" ht="15.75" customHeight="1" x14ac:dyDescent="0.25">
      <c r="A167" s="7"/>
    </row>
    <row r="168" spans="1:1" ht="15.75" customHeight="1" x14ac:dyDescent="0.25">
      <c r="A168" s="7"/>
    </row>
    <row r="169" spans="1:1" ht="15.75" customHeight="1" x14ac:dyDescent="0.25">
      <c r="A169" s="7"/>
    </row>
    <row r="170" spans="1:1" ht="15.75" customHeight="1" x14ac:dyDescent="0.25">
      <c r="A170" s="7"/>
    </row>
    <row r="171" spans="1:1" ht="15.75" customHeight="1" x14ac:dyDescent="0.25">
      <c r="A171" s="7"/>
    </row>
    <row r="172" spans="1:1" ht="15.75" customHeight="1" x14ac:dyDescent="0.25">
      <c r="A172" s="7"/>
    </row>
    <row r="173" spans="1:1" ht="15.75" customHeight="1" x14ac:dyDescent="0.25">
      <c r="A173" s="7"/>
    </row>
    <row r="174" spans="1:1" ht="15.75" customHeight="1" x14ac:dyDescent="0.25">
      <c r="A174" s="7"/>
    </row>
    <row r="175" spans="1:1" ht="15.75" customHeight="1" x14ac:dyDescent="0.25">
      <c r="A175" s="7"/>
    </row>
    <row r="176" spans="1:1" ht="15.75" customHeight="1" x14ac:dyDescent="0.25">
      <c r="A176" s="7"/>
    </row>
    <row r="177" spans="1:1" ht="15.75" customHeight="1" x14ac:dyDescent="0.25">
      <c r="A177" s="7"/>
    </row>
    <row r="178" spans="1:1" ht="15.75" customHeight="1" x14ac:dyDescent="0.25">
      <c r="A178" s="7"/>
    </row>
    <row r="179" spans="1:1" ht="15.75" customHeight="1" x14ac:dyDescent="0.25">
      <c r="A179" s="7"/>
    </row>
    <row r="180" spans="1:1" ht="15.75" customHeight="1" x14ac:dyDescent="0.25">
      <c r="A180" s="7"/>
    </row>
    <row r="181" spans="1:1" ht="15.75" customHeight="1" x14ac:dyDescent="0.25">
      <c r="A181" s="7"/>
    </row>
    <row r="182" spans="1:1" ht="15.75" customHeight="1" x14ac:dyDescent="0.25">
      <c r="A182" s="7"/>
    </row>
    <row r="183" spans="1:1" ht="15.75" customHeight="1" x14ac:dyDescent="0.25">
      <c r="A183" s="7"/>
    </row>
    <row r="184" spans="1:1" ht="15.75" customHeight="1" x14ac:dyDescent="0.25">
      <c r="A184" s="7"/>
    </row>
    <row r="185" spans="1:1" ht="15.75" customHeight="1" x14ac:dyDescent="0.25">
      <c r="A185" s="7"/>
    </row>
    <row r="186" spans="1:1" ht="15.75" customHeight="1" x14ac:dyDescent="0.25">
      <c r="A186" s="7"/>
    </row>
    <row r="187" spans="1:1" ht="15.75" customHeight="1" x14ac:dyDescent="0.25">
      <c r="A187" s="7"/>
    </row>
    <row r="188" spans="1:1" ht="15.75" customHeight="1" x14ac:dyDescent="0.25">
      <c r="A188" s="7"/>
    </row>
    <row r="189" spans="1:1" ht="15.75" customHeight="1" x14ac:dyDescent="0.25">
      <c r="A189" s="7"/>
    </row>
    <row r="190" spans="1:1" ht="15.75" customHeight="1" x14ac:dyDescent="0.25">
      <c r="A190" s="7"/>
    </row>
    <row r="191" spans="1:1" ht="15.75" customHeight="1" x14ac:dyDescent="0.25">
      <c r="A191" s="7"/>
    </row>
    <row r="192" spans="1:1" ht="15.75" customHeight="1" x14ac:dyDescent="0.25">
      <c r="A192" s="7"/>
    </row>
    <row r="193" spans="1:1" ht="15.75" customHeight="1" x14ac:dyDescent="0.25">
      <c r="A193" s="7"/>
    </row>
    <row r="194" spans="1:1" ht="15.75" customHeight="1" x14ac:dyDescent="0.25">
      <c r="A194" s="7"/>
    </row>
    <row r="195" spans="1:1" ht="15.75" customHeight="1" x14ac:dyDescent="0.25">
      <c r="A195" s="7"/>
    </row>
    <row r="196" spans="1:1" ht="15.75" customHeight="1" x14ac:dyDescent="0.25">
      <c r="A196" s="7"/>
    </row>
    <row r="197" spans="1:1" ht="15.75" customHeight="1" x14ac:dyDescent="0.25">
      <c r="A197" s="7"/>
    </row>
    <row r="198" spans="1:1" ht="15.75" customHeight="1" x14ac:dyDescent="0.25">
      <c r="A198" s="7"/>
    </row>
    <row r="199" spans="1:1" ht="15.75" customHeight="1" x14ac:dyDescent="0.25">
      <c r="A199" s="7"/>
    </row>
    <row r="200" spans="1:1" ht="15.75" customHeight="1" x14ac:dyDescent="0.25">
      <c r="A200" s="7"/>
    </row>
    <row r="201" spans="1:1" ht="15.75" customHeight="1" x14ac:dyDescent="0.25">
      <c r="A201" s="7"/>
    </row>
    <row r="202" spans="1:1" ht="15.75" customHeight="1" x14ac:dyDescent="0.25">
      <c r="A202" s="7"/>
    </row>
    <row r="203" spans="1:1" ht="15.75" customHeight="1" x14ac:dyDescent="0.25">
      <c r="A203" s="7"/>
    </row>
    <row r="204" spans="1:1" ht="15.75" customHeight="1" x14ac:dyDescent="0.25">
      <c r="A204" s="7"/>
    </row>
    <row r="205" spans="1:1" ht="15.75" customHeight="1" x14ac:dyDescent="0.25">
      <c r="A205" s="7"/>
    </row>
    <row r="206" spans="1:1" ht="15.75" customHeight="1" x14ac:dyDescent="0.25">
      <c r="A206" s="7"/>
    </row>
    <row r="207" spans="1:1" ht="15.75" customHeight="1" x14ac:dyDescent="0.25">
      <c r="A207" s="7"/>
    </row>
    <row r="208" spans="1:1" ht="15.75" customHeight="1" x14ac:dyDescent="0.25">
      <c r="A208" s="7"/>
    </row>
    <row r="209" spans="1:1" ht="15.75" customHeight="1" x14ac:dyDescent="0.25">
      <c r="A209" s="7"/>
    </row>
    <row r="210" spans="1:1" ht="15.75" customHeight="1" x14ac:dyDescent="0.25">
      <c r="A210" s="7"/>
    </row>
    <row r="211" spans="1:1" ht="15.75" customHeight="1" x14ac:dyDescent="0.25">
      <c r="A211" s="7"/>
    </row>
    <row r="212" spans="1:1" ht="15.75" customHeight="1" x14ac:dyDescent="0.25">
      <c r="A212" s="7"/>
    </row>
    <row r="213" spans="1:1" ht="15.75" customHeight="1" x14ac:dyDescent="0.25">
      <c r="A213" s="7"/>
    </row>
    <row r="214" spans="1:1" ht="15.75" customHeight="1" x14ac:dyDescent="0.25">
      <c r="A214" s="7"/>
    </row>
    <row r="215" spans="1:1" ht="15.75" customHeight="1" x14ac:dyDescent="0.25">
      <c r="A215" s="7"/>
    </row>
    <row r="216" spans="1:1" ht="15.75" customHeight="1" x14ac:dyDescent="0.25">
      <c r="A216" s="7"/>
    </row>
    <row r="217" spans="1:1" ht="15.75" customHeight="1" x14ac:dyDescent="0.25">
      <c r="A217" s="7"/>
    </row>
    <row r="218" spans="1:1" ht="15.75" customHeight="1" x14ac:dyDescent="0.25">
      <c r="A218" s="7"/>
    </row>
    <row r="219" spans="1:1" ht="15.75" customHeight="1" x14ac:dyDescent="0.25">
      <c r="A219" s="7"/>
    </row>
    <row r="220" spans="1:1" ht="15.75" customHeight="1" x14ac:dyDescent="0.25">
      <c r="A220" s="7"/>
    </row>
    <row r="221" spans="1:1" ht="15.75" customHeight="1" x14ac:dyDescent="0.25">
      <c r="A221" s="7"/>
    </row>
    <row r="222" spans="1:1" ht="15.75" customHeight="1" x14ac:dyDescent="0.25">
      <c r="A222" s="7"/>
    </row>
    <row r="223" spans="1:1" ht="15.75" customHeight="1" x14ac:dyDescent="0.25">
      <c r="A223" s="7"/>
    </row>
    <row r="224" spans="1:1" ht="15.75" customHeight="1" x14ac:dyDescent="0.25">
      <c r="A224" s="7"/>
    </row>
    <row r="225" spans="1:1" ht="15.75" customHeight="1" x14ac:dyDescent="0.25">
      <c r="A225" s="7"/>
    </row>
    <row r="226" spans="1:1" ht="15.75" customHeight="1" x14ac:dyDescent="0.25">
      <c r="A226" s="7"/>
    </row>
    <row r="227" spans="1:1" ht="15.75" customHeight="1" x14ac:dyDescent="0.25">
      <c r="A227" s="7"/>
    </row>
    <row r="228" spans="1:1" ht="15.75" customHeight="1" x14ac:dyDescent="0.25">
      <c r="A228" s="7"/>
    </row>
    <row r="229" spans="1:1" ht="15.75" customHeight="1" x14ac:dyDescent="0.25">
      <c r="A229" s="7"/>
    </row>
    <row r="230" spans="1:1" ht="15.75" customHeight="1" x14ac:dyDescent="0.25">
      <c r="A230" s="7"/>
    </row>
    <row r="231" spans="1:1" ht="15.75" customHeight="1" x14ac:dyDescent="0.25">
      <c r="A231" s="7"/>
    </row>
    <row r="232" spans="1:1" ht="15.75" customHeight="1" x14ac:dyDescent="0.25">
      <c r="A232" s="7"/>
    </row>
    <row r="233" spans="1:1" ht="15.75" customHeight="1" x14ac:dyDescent="0.25">
      <c r="A233" s="7"/>
    </row>
    <row r="234" spans="1:1" ht="15.75" customHeight="1" x14ac:dyDescent="0.25">
      <c r="A234" s="7"/>
    </row>
    <row r="235" spans="1:1" ht="15.75" customHeight="1" x14ac:dyDescent="0.25">
      <c r="A235" s="7"/>
    </row>
    <row r="236" spans="1:1" ht="15.75" customHeight="1" x14ac:dyDescent="0.25">
      <c r="A236" s="7"/>
    </row>
    <row r="237" spans="1:1" ht="15.75" customHeight="1" x14ac:dyDescent="0.25">
      <c r="A237" s="7"/>
    </row>
    <row r="238" spans="1:1" ht="15.75" customHeight="1" x14ac:dyDescent="0.25">
      <c r="A238" s="7"/>
    </row>
    <row r="239" spans="1:1" ht="15.75" customHeight="1" x14ac:dyDescent="0.25">
      <c r="A239" s="7"/>
    </row>
    <row r="240" spans="1:1" ht="15.75" customHeight="1" x14ac:dyDescent="0.25">
      <c r="A240" s="7"/>
    </row>
    <row r="241" spans="1:1" ht="15.75" customHeight="1" x14ac:dyDescent="0.25">
      <c r="A241" s="7"/>
    </row>
    <row r="242" spans="1:1" ht="15.75" customHeight="1" x14ac:dyDescent="0.25">
      <c r="A242" s="7"/>
    </row>
    <row r="243" spans="1:1" ht="15.75" customHeight="1" x14ac:dyDescent="0.25">
      <c r="A243" s="7"/>
    </row>
    <row r="244" spans="1:1" ht="15.75" customHeight="1" x14ac:dyDescent="0.25">
      <c r="A244" s="7"/>
    </row>
    <row r="245" spans="1:1" ht="15.75" customHeight="1" x14ac:dyDescent="0.25">
      <c r="A245" s="7"/>
    </row>
    <row r="246" spans="1:1" ht="15.75" customHeight="1" x14ac:dyDescent="0.25">
      <c r="A246" s="7"/>
    </row>
    <row r="247" spans="1:1" ht="15.75" customHeight="1" x14ac:dyDescent="0.25">
      <c r="A247" s="7"/>
    </row>
    <row r="248" spans="1:1" ht="15.75" customHeight="1" x14ac:dyDescent="0.25">
      <c r="A248" s="7"/>
    </row>
    <row r="249" spans="1:1" ht="15.75" customHeight="1" x14ac:dyDescent="0.25">
      <c r="A249" s="7"/>
    </row>
    <row r="250" spans="1:1" ht="15.75" customHeight="1" x14ac:dyDescent="0.25">
      <c r="A250" s="7"/>
    </row>
    <row r="251" spans="1:1" ht="15.75" customHeight="1" x14ac:dyDescent="0.25">
      <c r="A251" s="7"/>
    </row>
    <row r="252" spans="1:1" ht="15.75" customHeight="1" x14ac:dyDescent="0.25">
      <c r="A252" s="7"/>
    </row>
    <row r="253" spans="1:1" ht="15.75" customHeight="1" x14ac:dyDescent="0.25">
      <c r="A253" s="7"/>
    </row>
    <row r="254" spans="1:1" ht="15.75" customHeight="1" x14ac:dyDescent="0.25">
      <c r="A254" s="7"/>
    </row>
    <row r="255" spans="1:1" ht="15.75" customHeight="1" x14ac:dyDescent="0.25">
      <c r="A255" s="7"/>
    </row>
    <row r="256" spans="1:1" ht="15.75" customHeight="1" x14ac:dyDescent="0.25">
      <c r="A256" s="7"/>
    </row>
    <row r="257" spans="1:1" ht="15.75" customHeight="1" x14ac:dyDescent="0.25">
      <c r="A257" s="7"/>
    </row>
    <row r="258" spans="1:1" ht="15.75" customHeight="1" x14ac:dyDescent="0.25">
      <c r="A258" s="7"/>
    </row>
    <row r="259" spans="1:1" ht="15.75" customHeight="1" x14ac:dyDescent="0.25">
      <c r="A259" s="7"/>
    </row>
    <row r="260" spans="1:1" ht="15.75" customHeight="1" x14ac:dyDescent="0.25">
      <c r="A260" s="7"/>
    </row>
    <row r="261" spans="1:1" ht="15.75" customHeight="1" x14ac:dyDescent="0.25">
      <c r="A261" s="7"/>
    </row>
    <row r="262" spans="1:1" ht="15.75" customHeight="1" x14ac:dyDescent="0.25">
      <c r="A262" s="7"/>
    </row>
    <row r="263" spans="1:1" ht="15.75" customHeight="1" x14ac:dyDescent="0.25">
      <c r="A263" s="7"/>
    </row>
    <row r="264" spans="1:1" ht="15.75" customHeight="1" x14ac:dyDescent="0.25">
      <c r="A264" s="7"/>
    </row>
    <row r="265" spans="1:1" ht="15.75" customHeight="1" x14ac:dyDescent="0.25">
      <c r="A265" s="7"/>
    </row>
    <row r="266" spans="1:1" ht="15.75" customHeight="1" x14ac:dyDescent="0.25">
      <c r="A266" s="7"/>
    </row>
    <row r="267" spans="1:1" ht="15.75" customHeight="1" x14ac:dyDescent="0.25">
      <c r="A267" s="7"/>
    </row>
    <row r="268" spans="1:1" ht="15.75" customHeight="1" x14ac:dyDescent="0.25">
      <c r="A268" s="7"/>
    </row>
    <row r="269" spans="1:1" ht="15.75" customHeight="1" x14ac:dyDescent="0.25">
      <c r="A269" s="7"/>
    </row>
    <row r="270" spans="1:1" ht="15.75" customHeight="1" x14ac:dyDescent="0.25">
      <c r="A270" s="7"/>
    </row>
    <row r="271" spans="1:1" ht="15.75" customHeight="1" x14ac:dyDescent="0.25">
      <c r="A271" s="7"/>
    </row>
    <row r="272" spans="1:1" ht="15.75" customHeight="1" x14ac:dyDescent="0.25">
      <c r="A272" s="7"/>
    </row>
    <row r="273" spans="1:1" ht="15.75" customHeight="1" x14ac:dyDescent="0.25">
      <c r="A273" s="7"/>
    </row>
    <row r="274" spans="1:1" ht="15.75" customHeight="1" x14ac:dyDescent="0.25">
      <c r="A274" s="7"/>
    </row>
    <row r="275" spans="1:1" ht="15.75" customHeight="1" x14ac:dyDescent="0.25">
      <c r="A275" s="7"/>
    </row>
    <row r="276" spans="1:1" ht="15.75" customHeight="1" x14ac:dyDescent="0.25">
      <c r="A276" s="7"/>
    </row>
    <row r="277" spans="1:1" ht="15.75" customHeight="1" x14ac:dyDescent="0.25">
      <c r="A277" s="7"/>
    </row>
    <row r="278" spans="1:1" ht="15.75" customHeight="1" x14ac:dyDescent="0.25">
      <c r="A278" s="7"/>
    </row>
    <row r="279" spans="1:1" ht="15.75" customHeight="1" x14ac:dyDescent="0.25">
      <c r="A279" s="7"/>
    </row>
    <row r="280" spans="1:1" ht="15.75" customHeight="1" x14ac:dyDescent="0.25">
      <c r="A280" s="7"/>
    </row>
    <row r="281" spans="1:1" ht="15.75" customHeight="1" x14ac:dyDescent="0.25">
      <c r="A281" s="7"/>
    </row>
    <row r="282" spans="1:1" ht="15.75" customHeight="1" x14ac:dyDescent="0.25">
      <c r="A282" s="7"/>
    </row>
    <row r="283" spans="1:1" ht="15.75" customHeight="1" x14ac:dyDescent="0.25">
      <c r="A283" s="7"/>
    </row>
    <row r="284" spans="1:1" ht="15.75" customHeight="1" x14ac:dyDescent="0.25">
      <c r="A284" s="7"/>
    </row>
    <row r="285" spans="1:1" ht="15.75" customHeight="1" x14ac:dyDescent="0.25">
      <c r="A285" s="7"/>
    </row>
    <row r="286" spans="1:1" ht="15.75" customHeight="1" x14ac:dyDescent="0.25">
      <c r="A286" s="7"/>
    </row>
    <row r="287" spans="1:1" ht="15.75" customHeight="1" x14ac:dyDescent="0.25">
      <c r="A287" s="7"/>
    </row>
    <row r="288" spans="1:1" ht="15.75" customHeight="1" x14ac:dyDescent="0.25">
      <c r="A288" s="7"/>
    </row>
    <row r="289" spans="1:1" ht="15.75" customHeight="1" x14ac:dyDescent="0.25">
      <c r="A289" s="7"/>
    </row>
    <row r="290" spans="1:1" ht="15.75" customHeight="1" x14ac:dyDescent="0.25">
      <c r="A290" s="7"/>
    </row>
    <row r="291" spans="1:1" ht="15.75" customHeight="1" x14ac:dyDescent="0.25">
      <c r="A291" s="7"/>
    </row>
    <row r="292" spans="1:1" ht="15.75" customHeight="1" x14ac:dyDescent="0.25">
      <c r="A292" s="7"/>
    </row>
    <row r="293" spans="1:1" ht="15.75" customHeight="1" x14ac:dyDescent="0.25">
      <c r="A293" s="7"/>
    </row>
    <row r="294" spans="1:1" ht="15.75" customHeight="1" x14ac:dyDescent="0.25">
      <c r="A294" s="7"/>
    </row>
    <row r="295" spans="1:1" ht="15.75" customHeight="1" x14ac:dyDescent="0.25">
      <c r="A295" s="7"/>
    </row>
    <row r="296" spans="1:1" ht="15.75" customHeight="1" x14ac:dyDescent="0.25">
      <c r="A296" s="7"/>
    </row>
    <row r="297" spans="1:1" ht="15.75" customHeight="1" x14ac:dyDescent="0.25">
      <c r="A297" s="7"/>
    </row>
    <row r="298" spans="1:1" ht="15.75" customHeight="1" x14ac:dyDescent="0.25">
      <c r="A298" s="7"/>
    </row>
    <row r="299" spans="1:1" ht="15.75" customHeight="1" x14ac:dyDescent="0.25">
      <c r="A299" s="7"/>
    </row>
    <row r="300" spans="1:1" ht="15.75" customHeight="1" x14ac:dyDescent="0.25">
      <c r="A300" s="7"/>
    </row>
    <row r="301" spans="1:1" ht="15.75" customHeight="1" x14ac:dyDescent="0.25">
      <c r="A301" s="7"/>
    </row>
    <row r="302" spans="1:1" ht="15.75" customHeight="1" x14ac:dyDescent="0.25">
      <c r="A302" s="7"/>
    </row>
    <row r="303" spans="1:1" ht="15.75" customHeight="1" x14ac:dyDescent="0.25">
      <c r="A303" s="7"/>
    </row>
    <row r="304" spans="1:1" ht="15.75" customHeight="1" x14ac:dyDescent="0.25">
      <c r="A304" s="7"/>
    </row>
    <row r="305" spans="1:1" ht="15.75" customHeight="1" x14ac:dyDescent="0.25">
      <c r="A305" s="7"/>
    </row>
    <row r="306" spans="1:1" ht="15.75" customHeight="1" x14ac:dyDescent="0.25">
      <c r="A306" s="7"/>
    </row>
    <row r="307" spans="1:1" ht="15.75" customHeight="1" x14ac:dyDescent="0.25">
      <c r="A307" s="7"/>
    </row>
    <row r="308" spans="1:1" ht="15.75" customHeight="1" x14ac:dyDescent="0.25">
      <c r="A308" s="7"/>
    </row>
    <row r="309" spans="1:1" ht="15.75" customHeight="1" x14ac:dyDescent="0.25">
      <c r="A309" s="7"/>
    </row>
    <row r="310" spans="1:1" ht="15.75" customHeight="1" x14ac:dyDescent="0.25">
      <c r="A310" s="7"/>
    </row>
    <row r="311" spans="1:1" ht="15.75" customHeight="1" x14ac:dyDescent="0.25">
      <c r="A311" s="7"/>
    </row>
    <row r="312" spans="1:1" ht="15.75" customHeight="1" x14ac:dyDescent="0.25">
      <c r="A312" s="7"/>
    </row>
    <row r="313" spans="1:1" ht="15.75" customHeight="1" x14ac:dyDescent="0.25">
      <c r="A313" s="7"/>
    </row>
    <row r="314" spans="1:1" ht="15.75" customHeight="1" x14ac:dyDescent="0.25">
      <c r="A314" s="7"/>
    </row>
    <row r="315" spans="1:1" ht="15.75" customHeight="1" x14ac:dyDescent="0.25">
      <c r="A315" s="7"/>
    </row>
    <row r="316" spans="1:1" ht="15.75" customHeight="1" x14ac:dyDescent="0.25">
      <c r="A316" s="7"/>
    </row>
    <row r="317" spans="1:1" ht="15.75" customHeight="1" x14ac:dyDescent="0.25">
      <c r="A317" s="7"/>
    </row>
    <row r="318" spans="1:1" ht="15.75" customHeight="1" x14ac:dyDescent="0.25">
      <c r="A318" s="7"/>
    </row>
    <row r="319" spans="1:1" ht="15.75" customHeight="1" x14ac:dyDescent="0.25">
      <c r="A319" s="7"/>
    </row>
    <row r="320" spans="1:1" ht="15.75" customHeight="1" x14ac:dyDescent="0.25">
      <c r="A320" s="7"/>
    </row>
    <row r="321" spans="1:1" ht="15.75" customHeight="1" x14ac:dyDescent="0.25">
      <c r="A321" s="7"/>
    </row>
    <row r="322" spans="1:1" ht="15.75" customHeight="1" x14ac:dyDescent="0.25">
      <c r="A322" s="7"/>
    </row>
    <row r="323" spans="1:1" ht="15.75" customHeight="1" x14ac:dyDescent="0.25">
      <c r="A323" s="7"/>
    </row>
    <row r="324" spans="1:1" ht="15.75" customHeight="1" x14ac:dyDescent="0.25">
      <c r="A324" s="7"/>
    </row>
    <row r="325" spans="1:1" ht="15.75" customHeight="1" x14ac:dyDescent="0.25">
      <c r="A325" s="7"/>
    </row>
    <row r="326" spans="1:1" ht="15.75" customHeight="1" x14ac:dyDescent="0.25">
      <c r="A326" s="7"/>
    </row>
    <row r="327" spans="1:1" ht="15.75" customHeight="1" x14ac:dyDescent="0.25">
      <c r="A327" s="7"/>
    </row>
    <row r="328" spans="1:1" ht="15.75" customHeight="1" x14ac:dyDescent="0.25">
      <c r="A328" s="7"/>
    </row>
    <row r="329" spans="1:1" ht="15.75" customHeight="1" x14ac:dyDescent="0.25">
      <c r="A329" s="7"/>
    </row>
    <row r="330" spans="1:1" ht="15.75" customHeight="1" x14ac:dyDescent="0.25">
      <c r="A330" s="7"/>
    </row>
    <row r="331" spans="1:1" ht="15.75" customHeight="1" x14ac:dyDescent="0.25">
      <c r="A331" s="7"/>
    </row>
    <row r="332" spans="1:1" ht="15.75" customHeight="1" x14ac:dyDescent="0.25">
      <c r="A332" s="7"/>
    </row>
    <row r="333" spans="1:1" ht="15.75" customHeight="1" x14ac:dyDescent="0.25">
      <c r="A333" s="7"/>
    </row>
    <row r="334" spans="1:1" ht="15.75" customHeight="1" x14ac:dyDescent="0.25">
      <c r="A334" s="7"/>
    </row>
    <row r="335" spans="1:1" ht="15.75" customHeight="1" x14ac:dyDescent="0.25">
      <c r="A335" s="7"/>
    </row>
    <row r="336" spans="1:1" ht="15.75" customHeight="1" x14ac:dyDescent="0.25">
      <c r="A336" s="7"/>
    </row>
    <row r="337" spans="1:1" ht="15.75" customHeight="1" x14ac:dyDescent="0.25">
      <c r="A337" s="7"/>
    </row>
    <row r="338" spans="1:1" ht="15.75" customHeight="1" x14ac:dyDescent="0.25">
      <c r="A338" s="7"/>
    </row>
    <row r="339" spans="1:1" ht="15.75" customHeight="1" x14ac:dyDescent="0.25">
      <c r="A339" s="7"/>
    </row>
    <row r="340" spans="1:1" ht="15.75" customHeight="1" x14ac:dyDescent="0.25">
      <c r="A340" s="7"/>
    </row>
    <row r="341" spans="1:1" ht="15.75" customHeight="1" x14ac:dyDescent="0.25">
      <c r="A341" s="7"/>
    </row>
    <row r="342" spans="1:1" ht="15.75" customHeight="1" x14ac:dyDescent="0.25">
      <c r="A342" s="7"/>
    </row>
    <row r="343" spans="1:1" ht="15.75" customHeight="1" x14ac:dyDescent="0.25">
      <c r="A343" s="7"/>
    </row>
    <row r="344" spans="1:1" ht="15.75" customHeight="1" x14ac:dyDescent="0.25">
      <c r="A344" s="7"/>
    </row>
    <row r="345" spans="1:1" ht="15.75" customHeight="1" x14ac:dyDescent="0.25">
      <c r="A345" s="7"/>
    </row>
    <row r="346" spans="1:1" ht="15.75" customHeight="1" x14ac:dyDescent="0.25">
      <c r="A346" s="7"/>
    </row>
    <row r="347" spans="1:1" ht="15.75" customHeight="1" x14ac:dyDescent="0.25">
      <c r="A347" s="7"/>
    </row>
    <row r="348" spans="1:1" ht="15.75" customHeight="1" x14ac:dyDescent="0.25">
      <c r="A348" s="7"/>
    </row>
    <row r="349" spans="1:1" ht="15.75" customHeight="1" x14ac:dyDescent="0.25">
      <c r="A349" s="7"/>
    </row>
    <row r="350" spans="1:1" ht="15.75" customHeight="1" x14ac:dyDescent="0.25">
      <c r="A350" s="7"/>
    </row>
    <row r="351" spans="1:1" ht="15.75" customHeight="1" x14ac:dyDescent="0.25">
      <c r="A351" s="7"/>
    </row>
    <row r="352" spans="1:1" ht="15.75" customHeight="1" x14ac:dyDescent="0.25">
      <c r="A352" s="7"/>
    </row>
    <row r="353" spans="1:1" ht="15.75" customHeight="1" x14ac:dyDescent="0.25">
      <c r="A353" s="7"/>
    </row>
    <row r="354" spans="1:1" ht="15.75" customHeight="1" x14ac:dyDescent="0.25">
      <c r="A354" s="7"/>
    </row>
    <row r="355" spans="1:1" ht="15.75" customHeight="1" x14ac:dyDescent="0.25">
      <c r="A355" s="7"/>
    </row>
    <row r="356" spans="1:1" ht="15.75" customHeight="1" x14ac:dyDescent="0.25">
      <c r="A356" s="7"/>
    </row>
    <row r="357" spans="1:1" ht="15.75" customHeight="1" x14ac:dyDescent="0.25">
      <c r="A357" s="7"/>
    </row>
    <row r="358" spans="1:1" ht="15.75" customHeight="1" x14ac:dyDescent="0.25">
      <c r="A358" s="7"/>
    </row>
    <row r="359" spans="1:1" ht="15.75" customHeight="1" x14ac:dyDescent="0.25">
      <c r="A359" s="7"/>
    </row>
    <row r="360" spans="1:1" ht="15.75" customHeight="1" x14ac:dyDescent="0.25">
      <c r="A360" s="7"/>
    </row>
    <row r="361" spans="1:1" ht="15.75" customHeight="1" x14ac:dyDescent="0.25">
      <c r="A361" s="7"/>
    </row>
    <row r="362" spans="1:1" ht="15.75" customHeight="1" x14ac:dyDescent="0.25">
      <c r="A362" s="7"/>
    </row>
    <row r="363" spans="1:1" ht="15.75" customHeight="1" x14ac:dyDescent="0.25">
      <c r="A363" s="7"/>
    </row>
    <row r="364" spans="1:1" ht="15.75" customHeight="1" x14ac:dyDescent="0.25">
      <c r="A364" s="7"/>
    </row>
    <row r="365" spans="1:1" ht="15.75" customHeight="1" x14ac:dyDescent="0.25">
      <c r="A365" s="7"/>
    </row>
    <row r="366" spans="1:1" ht="15.75" customHeight="1" x14ac:dyDescent="0.25">
      <c r="A366" s="7"/>
    </row>
    <row r="367" spans="1:1" ht="15.75" customHeight="1" x14ac:dyDescent="0.25">
      <c r="A367" s="7"/>
    </row>
    <row r="368" spans="1:1" ht="15.75" customHeight="1" x14ac:dyDescent="0.25">
      <c r="A368" s="7"/>
    </row>
    <row r="369" spans="1:1" ht="15.75" customHeight="1" x14ac:dyDescent="0.25">
      <c r="A369" s="7"/>
    </row>
    <row r="370" spans="1:1" ht="15.75" customHeight="1" x14ac:dyDescent="0.25">
      <c r="A370" s="7"/>
    </row>
    <row r="371" spans="1:1" ht="15.75" customHeight="1" x14ac:dyDescent="0.25">
      <c r="A371" s="7"/>
    </row>
    <row r="372" spans="1:1" ht="15.75" customHeight="1" x14ac:dyDescent="0.25">
      <c r="A372" s="7"/>
    </row>
    <row r="373" spans="1:1" ht="15.75" customHeight="1" x14ac:dyDescent="0.25">
      <c r="A373" s="7"/>
    </row>
    <row r="374" spans="1:1" ht="15.75" customHeight="1" x14ac:dyDescent="0.25">
      <c r="A374" s="7"/>
    </row>
    <row r="375" spans="1:1" ht="15.75" customHeight="1" x14ac:dyDescent="0.25">
      <c r="A375" s="7"/>
    </row>
    <row r="376" spans="1:1" ht="15.75" customHeight="1" x14ac:dyDescent="0.25">
      <c r="A376" s="7"/>
    </row>
    <row r="377" spans="1:1" ht="15.75" customHeight="1" x14ac:dyDescent="0.25">
      <c r="A377" s="7"/>
    </row>
    <row r="378" spans="1:1" ht="15.75" customHeight="1" x14ac:dyDescent="0.25">
      <c r="A378" s="7"/>
    </row>
    <row r="379" spans="1:1" ht="15.75" customHeight="1" x14ac:dyDescent="0.25">
      <c r="A379" s="7"/>
    </row>
    <row r="380" spans="1:1" ht="15.75" customHeight="1" x14ac:dyDescent="0.25">
      <c r="A380" s="7"/>
    </row>
    <row r="381" spans="1:1" ht="15.75" customHeight="1" x14ac:dyDescent="0.25">
      <c r="A381" s="7"/>
    </row>
    <row r="382" spans="1:1" ht="15.75" customHeight="1" x14ac:dyDescent="0.25">
      <c r="A382" s="7"/>
    </row>
    <row r="383" spans="1:1" ht="15.75" customHeight="1" x14ac:dyDescent="0.25">
      <c r="A383" s="7"/>
    </row>
    <row r="384" spans="1:1" ht="15.75" customHeight="1" x14ac:dyDescent="0.25">
      <c r="A384" s="7"/>
    </row>
    <row r="385" spans="1:1" ht="15.75" customHeight="1" x14ac:dyDescent="0.25">
      <c r="A385" s="7"/>
    </row>
    <row r="386" spans="1:1" ht="15.75" customHeight="1" x14ac:dyDescent="0.25">
      <c r="A386" s="7"/>
    </row>
    <row r="387" spans="1:1" ht="15.75" customHeight="1" x14ac:dyDescent="0.25">
      <c r="A387" s="7"/>
    </row>
    <row r="388" spans="1:1" ht="15.75" customHeight="1" x14ac:dyDescent="0.25">
      <c r="A388" s="7"/>
    </row>
    <row r="389" spans="1:1" ht="15.75" customHeight="1" x14ac:dyDescent="0.25">
      <c r="A389" s="7"/>
    </row>
    <row r="390" spans="1:1" ht="15.75" customHeight="1" x14ac:dyDescent="0.25">
      <c r="A390" s="7"/>
    </row>
    <row r="391" spans="1:1" ht="15.75" customHeight="1" x14ac:dyDescent="0.25">
      <c r="A391" s="7"/>
    </row>
    <row r="392" spans="1:1" ht="15.75" customHeight="1" x14ac:dyDescent="0.25">
      <c r="A392" s="7"/>
    </row>
    <row r="393" spans="1:1" ht="15.75" customHeight="1" x14ac:dyDescent="0.25">
      <c r="A393" s="7"/>
    </row>
    <row r="394" spans="1:1" ht="15.75" customHeight="1" x14ac:dyDescent="0.25">
      <c r="A394" s="7"/>
    </row>
    <row r="395" spans="1:1" ht="15.75" customHeight="1" x14ac:dyDescent="0.25">
      <c r="A395" s="7"/>
    </row>
    <row r="396" spans="1:1" ht="15.75" customHeight="1" x14ac:dyDescent="0.25">
      <c r="A396" s="7"/>
    </row>
    <row r="397" spans="1:1" ht="15.75" customHeight="1" x14ac:dyDescent="0.25">
      <c r="A397" s="7"/>
    </row>
    <row r="398" spans="1:1" ht="15.75" customHeight="1" x14ac:dyDescent="0.25">
      <c r="A398" s="7"/>
    </row>
    <row r="399" spans="1:1" ht="15.75" customHeight="1" x14ac:dyDescent="0.25">
      <c r="A399" s="7"/>
    </row>
    <row r="400" spans="1:1" ht="15.75" customHeight="1" x14ac:dyDescent="0.25">
      <c r="A400" s="7"/>
    </row>
    <row r="401" spans="1:1" ht="15.75" customHeight="1" x14ac:dyDescent="0.25">
      <c r="A401" s="7"/>
    </row>
    <row r="402" spans="1:1" ht="15.75" customHeight="1" x14ac:dyDescent="0.25">
      <c r="A402" s="7"/>
    </row>
    <row r="403" spans="1:1" ht="15.75" customHeight="1" x14ac:dyDescent="0.25">
      <c r="A403" s="7"/>
    </row>
    <row r="404" spans="1:1" ht="15.75" customHeight="1" x14ac:dyDescent="0.25">
      <c r="A404" s="7"/>
    </row>
    <row r="405" spans="1:1" ht="15.75" customHeight="1" x14ac:dyDescent="0.25">
      <c r="A405" s="7"/>
    </row>
    <row r="406" spans="1:1" ht="15.75" customHeight="1" x14ac:dyDescent="0.25">
      <c r="A406" s="7"/>
    </row>
    <row r="407" spans="1:1" ht="15.75" customHeight="1" x14ac:dyDescent="0.25">
      <c r="A407" s="7"/>
    </row>
    <row r="408" spans="1:1" ht="15.75" customHeight="1" x14ac:dyDescent="0.25">
      <c r="A408" s="7"/>
    </row>
    <row r="409" spans="1:1" ht="15.75" customHeight="1" x14ac:dyDescent="0.25">
      <c r="A409" s="7"/>
    </row>
    <row r="410" spans="1:1" ht="15.75" customHeight="1" x14ac:dyDescent="0.25">
      <c r="A410" s="7"/>
    </row>
    <row r="411" spans="1:1" ht="15.75" customHeight="1" x14ac:dyDescent="0.25">
      <c r="A411" s="7"/>
    </row>
    <row r="412" spans="1:1" ht="15.75" customHeight="1" x14ac:dyDescent="0.25">
      <c r="A412" s="7"/>
    </row>
    <row r="413" spans="1:1" ht="15.75" customHeight="1" x14ac:dyDescent="0.25">
      <c r="A413" s="7"/>
    </row>
    <row r="414" spans="1:1" ht="15.75" customHeight="1" x14ac:dyDescent="0.25">
      <c r="A414" s="7"/>
    </row>
    <row r="415" spans="1:1" ht="15.75" customHeight="1" x14ac:dyDescent="0.25">
      <c r="A415" s="7"/>
    </row>
    <row r="416" spans="1:1" ht="15.75" customHeight="1" x14ac:dyDescent="0.25">
      <c r="A416" s="7"/>
    </row>
    <row r="417" spans="1:1" ht="15.75" customHeight="1" x14ac:dyDescent="0.25">
      <c r="A417" s="7"/>
    </row>
    <row r="418" spans="1:1" ht="15.75" customHeight="1" x14ac:dyDescent="0.25">
      <c r="A418" s="7"/>
    </row>
    <row r="419" spans="1:1" ht="15.75" customHeight="1" x14ac:dyDescent="0.25">
      <c r="A419" s="7"/>
    </row>
    <row r="420" spans="1:1" ht="15.75" customHeight="1" x14ac:dyDescent="0.25">
      <c r="A420" s="7"/>
    </row>
    <row r="421" spans="1:1" ht="15.75" customHeight="1" x14ac:dyDescent="0.25">
      <c r="A421" s="7"/>
    </row>
    <row r="422" spans="1:1" ht="15.75" customHeight="1" x14ac:dyDescent="0.25">
      <c r="A422" s="7"/>
    </row>
    <row r="423" spans="1:1" ht="15.75" customHeight="1" x14ac:dyDescent="0.25">
      <c r="A423" s="7"/>
    </row>
    <row r="424" spans="1:1" ht="15.75" customHeight="1" x14ac:dyDescent="0.25">
      <c r="A424" s="7"/>
    </row>
    <row r="425" spans="1:1" ht="15.75" customHeight="1" x14ac:dyDescent="0.25">
      <c r="A425" s="7"/>
    </row>
    <row r="426" spans="1:1" ht="15.75" customHeight="1" x14ac:dyDescent="0.25">
      <c r="A426" s="7"/>
    </row>
    <row r="427" spans="1:1" ht="15.75" customHeight="1" x14ac:dyDescent="0.25">
      <c r="A427" s="7"/>
    </row>
    <row r="428" spans="1:1" ht="15.75" customHeight="1" x14ac:dyDescent="0.25">
      <c r="A428" s="7"/>
    </row>
    <row r="429" spans="1:1" ht="15.75" customHeight="1" x14ac:dyDescent="0.25">
      <c r="A429" s="7"/>
    </row>
    <row r="430" spans="1:1" ht="15.75" customHeight="1" x14ac:dyDescent="0.25">
      <c r="A430" s="7"/>
    </row>
    <row r="431" spans="1:1" ht="15.75" customHeight="1" x14ac:dyDescent="0.25">
      <c r="A431" s="7"/>
    </row>
    <row r="432" spans="1:1" ht="15.75" customHeight="1" x14ac:dyDescent="0.25">
      <c r="A432" s="7"/>
    </row>
    <row r="433" spans="1:1" ht="15.75" customHeight="1" x14ac:dyDescent="0.25">
      <c r="A433" s="7"/>
    </row>
    <row r="434" spans="1:1" ht="15.75" customHeight="1" x14ac:dyDescent="0.25">
      <c r="A434" s="7"/>
    </row>
    <row r="435" spans="1:1" ht="15.75" customHeight="1" x14ac:dyDescent="0.25">
      <c r="A435" s="7"/>
    </row>
    <row r="436" spans="1:1" ht="15.75" customHeight="1" x14ac:dyDescent="0.25">
      <c r="A436" s="7"/>
    </row>
    <row r="437" spans="1:1" ht="15.75" customHeight="1" x14ac:dyDescent="0.25">
      <c r="A437" s="7"/>
    </row>
    <row r="438" spans="1:1" ht="15.75" customHeight="1" x14ac:dyDescent="0.25">
      <c r="A438" s="7"/>
    </row>
    <row r="439" spans="1:1" ht="15.75" customHeight="1" x14ac:dyDescent="0.25">
      <c r="A439" s="7"/>
    </row>
    <row r="440" spans="1:1" ht="15.75" customHeight="1" x14ac:dyDescent="0.25">
      <c r="A440" s="7"/>
    </row>
    <row r="441" spans="1:1" ht="15.75" customHeight="1" x14ac:dyDescent="0.25">
      <c r="A441" s="7"/>
    </row>
    <row r="442" spans="1:1" ht="15.75" customHeight="1" x14ac:dyDescent="0.25">
      <c r="A442" s="7"/>
    </row>
    <row r="443" spans="1:1" ht="15.75" customHeight="1" x14ac:dyDescent="0.25">
      <c r="A443" s="7"/>
    </row>
    <row r="444" spans="1:1" ht="15.75" customHeight="1" x14ac:dyDescent="0.25">
      <c r="A444" s="7"/>
    </row>
    <row r="445" spans="1:1" ht="15.75" customHeight="1" x14ac:dyDescent="0.25">
      <c r="A445" s="7"/>
    </row>
    <row r="446" spans="1:1" ht="15.75" customHeight="1" x14ac:dyDescent="0.25">
      <c r="A446" s="7"/>
    </row>
    <row r="447" spans="1:1" ht="15.75" customHeight="1" x14ac:dyDescent="0.25">
      <c r="A447" s="7"/>
    </row>
    <row r="448" spans="1:1" ht="15.75" customHeight="1" x14ac:dyDescent="0.25">
      <c r="A448" s="7"/>
    </row>
    <row r="449" spans="1:1" ht="15.75" customHeight="1" x14ac:dyDescent="0.25">
      <c r="A449" s="7"/>
    </row>
    <row r="450" spans="1:1" ht="15.75" customHeight="1" x14ac:dyDescent="0.25">
      <c r="A450" s="7"/>
    </row>
    <row r="451" spans="1:1" ht="15.75" customHeight="1" x14ac:dyDescent="0.25">
      <c r="A451" s="7"/>
    </row>
    <row r="452" spans="1:1" ht="15.75" customHeight="1" x14ac:dyDescent="0.25">
      <c r="A452" s="7"/>
    </row>
    <row r="453" spans="1:1" ht="15.75" customHeight="1" x14ac:dyDescent="0.25">
      <c r="A453" s="7"/>
    </row>
    <row r="454" spans="1:1" ht="15.75" customHeight="1" x14ac:dyDescent="0.25">
      <c r="A454" s="7"/>
    </row>
    <row r="455" spans="1:1" ht="15.75" customHeight="1" x14ac:dyDescent="0.25">
      <c r="A455" s="7"/>
    </row>
    <row r="456" spans="1:1" ht="15.75" customHeight="1" x14ac:dyDescent="0.25">
      <c r="A456" s="7"/>
    </row>
    <row r="457" spans="1:1" ht="15.75" customHeight="1" x14ac:dyDescent="0.25">
      <c r="A457" s="7"/>
    </row>
    <row r="458" spans="1:1" ht="15.75" customHeight="1" x14ac:dyDescent="0.25">
      <c r="A458" s="7"/>
    </row>
    <row r="459" spans="1:1" ht="15.75" customHeight="1" x14ac:dyDescent="0.25">
      <c r="A459" s="7"/>
    </row>
    <row r="460" spans="1:1" ht="15.75" customHeight="1" x14ac:dyDescent="0.25">
      <c r="A460" s="7"/>
    </row>
    <row r="461" spans="1:1" ht="15.75" customHeight="1" x14ac:dyDescent="0.25">
      <c r="A461" s="7"/>
    </row>
    <row r="462" spans="1:1" ht="15.75" customHeight="1" x14ac:dyDescent="0.25">
      <c r="A462" s="7"/>
    </row>
    <row r="463" spans="1:1" ht="15.75" customHeight="1" x14ac:dyDescent="0.25">
      <c r="A463" s="7"/>
    </row>
    <row r="464" spans="1:1" ht="15.75" customHeight="1" x14ac:dyDescent="0.25">
      <c r="A464" s="7"/>
    </row>
    <row r="465" spans="1:1" ht="15.75" customHeight="1" x14ac:dyDescent="0.25">
      <c r="A465" s="7"/>
    </row>
    <row r="466" spans="1:1" ht="15.75" customHeight="1" x14ac:dyDescent="0.25">
      <c r="A466" s="7"/>
    </row>
    <row r="467" spans="1:1" ht="15.75" customHeight="1" x14ac:dyDescent="0.25">
      <c r="A467" s="7"/>
    </row>
    <row r="468" spans="1:1" ht="15.75" customHeight="1" x14ac:dyDescent="0.25">
      <c r="A468" s="7"/>
    </row>
    <row r="469" spans="1:1" ht="15.75" customHeight="1" x14ac:dyDescent="0.25">
      <c r="A469" s="7"/>
    </row>
    <row r="470" spans="1:1" ht="15.75" customHeight="1" x14ac:dyDescent="0.25">
      <c r="A470" s="7"/>
    </row>
    <row r="471" spans="1:1" ht="15.75" customHeight="1" x14ac:dyDescent="0.25">
      <c r="A471" s="7"/>
    </row>
    <row r="472" spans="1:1" ht="15.75" customHeight="1" x14ac:dyDescent="0.25">
      <c r="A472" s="7"/>
    </row>
    <row r="473" spans="1:1" ht="15.75" customHeight="1" x14ac:dyDescent="0.25">
      <c r="A473" s="7"/>
    </row>
    <row r="474" spans="1:1" ht="15.75" customHeight="1" x14ac:dyDescent="0.25">
      <c r="A474" s="7"/>
    </row>
    <row r="475" spans="1:1" ht="15.75" customHeight="1" x14ac:dyDescent="0.25">
      <c r="A475" s="7"/>
    </row>
    <row r="476" spans="1:1" ht="15.75" customHeight="1" x14ac:dyDescent="0.25">
      <c r="A476" s="7"/>
    </row>
    <row r="477" spans="1:1" ht="15.75" customHeight="1" x14ac:dyDescent="0.25">
      <c r="A477" s="7"/>
    </row>
    <row r="478" spans="1:1" ht="15.75" customHeight="1" x14ac:dyDescent="0.25">
      <c r="A478" s="7"/>
    </row>
    <row r="479" spans="1:1" ht="15.75" customHeight="1" x14ac:dyDescent="0.25">
      <c r="A479" s="7"/>
    </row>
    <row r="480" spans="1:1" ht="15.75" customHeight="1" x14ac:dyDescent="0.25">
      <c r="A480" s="7"/>
    </row>
    <row r="481" spans="1:1" ht="15.75" customHeight="1" x14ac:dyDescent="0.25">
      <c r="A481" s="7"/>
    </row>
    <row r="482" spans="1:1" ht="15.75" customHeight="1" x14ac:dyDescent="0.25">
      <c r="A482" s="7"/>
    </row>
    <row r="483" spans="1:1" ht="15.75" customHeight="1" x14ac:dyDescent="0.25">
      <c r="A483" s="7"/>
    </row>
    <row r="484" spans="1:1" ht="15.75" customHeight="1" x14ac:dyDescent="0.25">
      <c r="A484" s="7"/>
    </row>
    <row r="485" spans="1:1" ht="15.75" customHeight="1" x14ac:dyDescent="0.25">
      <c r="A485" s="7"/>
    </row>
    <row r="486" spans="1:1" ht="15.75" customHeight="1" x14ac:dyDescent="0.25">
      <c r="A486" s="7"/>
    </row>
    <row r="487" spans="1:1" ht="15.75" customHeight="1" x14ac:dyDescent="0.25">
      <c r="A487" s="7"/>
    </row>
    <row r="488" spans="1:1" ht="15.75" customHeight="1" x14ac:dyDescent="0.25">
      <c r="A488" s="7"/>
    </row>
    <row r="489" spans="1:1" ht="15.75" customHeight="1" x14ac:dyDescent="0.25">
      <c r="A489" s="7"/>
    </row>
    <row r="490" spans="1:1" ht="15.75" customHeight="1" x14ac:dyDescent="0.25">
      <c r="A490" s="7"/>
    </row>
    <row r="491" spans="1:1" ht="15.75" customHeight="1" x14ac:dyDescent="0.25">
      <c r="A491" s="7"/>
    </row>
    <row r="492" spans="1:1" ht="15.75" customHeight="1" x14ac:dyDescent="0.25">
      <c r="A492" s="7"/>
    </row>
    <row r="493" spans="1:1" ht="15.75" customHeight="1" x14ac:dyDescent="0.25">
      <c r="A493" s="7"/>
    </row>
    <row r="494" spans="1:1" ht="15.75" customHeight="1" x14ac:dyDescent="0.25">
      <c r="A494" s="7"/>
    </row>
    <row r="495" spans="1:1" ht="15.75" customHeight="1" x14ac:dyDescent="0.25">
      <c r="A495" s="7"/>
    </row>
    <row r="496" spans="1:1" ht="15.75" customHeight="1" x14ac:dyDescent="0.25">
      <c r="A496" s="7"/>
    </row>
    <row r="497" spans="1:1" ht="15.75" customHeight="1" x14ac:dyDescent="0.25">
      <c r="A497" s="7"/>
    </row>
    <row r="498" spans="1:1" ht="15.75" customHeight="1" x14ac:dyDescent="0.25">
      <c r="A498" s="7"/>
    </row>
    <row r="499" spans="1:1" ht="15.75" customHeight="1" x14ac:dyDescent="0.25">
      <c r="A499" s="7"/>
    </row>
    <row r="500" spans="1:1" ht="15.75" customHeight="1" x14ac:dyDescent="0.25">
      <c r="A500" s="7"/>
    </row>
    <row r="501" spans="1:1" ht="15.75" customHeight="1" x14ac:dyDescent="0.25">
      <c r="A501" s="7"/>
    </row>
    <row r="502" spans="1:1" ht="15.75" customHeight="1" x14ac:dyDescent="0.25">
      <c r="A502" s="7"/>
    </row>
    <row r="503" spans="1:1" ht="15.75" customHeight="1" x14ac:dyDescent="0.25">
      <c r="A503" s="7"/>
    </row>
    <row r="504" spans="1:1" ht="15.75" customHeight="1" x14ac:dyDescent="0.25">
      <c r="A504" s="7"/>
    </row>
    <row r="505" spans="1:1" ht="15.75" customHeight="1" x14ac:dyDescent="0.25">
      <c r="A505" s="7"/>
    </row>
    <row r="506" spans="1:1" ht="15.75" customHeight="1" x14ac:dyDescent="0.25">
      <c r="A506" s="7"/>
    </row>
    <row r="507" spans="1:1" ht="15.75" customHeight="1" x14ac:dyDescent="0.25">
      <c r="A507" s="7"/>
    </row>
    <row r="508" spans="1:1" ht="15.75" customHeight="1" x14ac:dyDescent="0.25">
      <c r="A508" s="7"/>
    </row>
    <row r="509" spans="1:1" ht="15.75" customHeight="1" x14ac:dyDescent="0.25">
      <c r="A509" s="7"/>
    </row>
    <row r="510" spans="1:1" ht="15.75" customHeight="1" x14ac:dyDescent="0.25">
      <c r="A510" s="7"/>
    </row>
    <row r="511" spans="1:1" ht="15.75" customHeight="1" x14ac:dyDescent="0.25">
      <c r="A511" s="7"/>
    </row>
    <row r="512" spans="1:1" ht="15.75" customHeight="1" x14ac:dyDescent="0.25">
      <c r="A512" s="7"/>
    </row>
    <row r="513" spans="1:1" ht="15.75" customHeight="1" x14ac:dyDescent="0.25">
      <c r="A513" s="7"/>
    </row>
    <row r="514" spans="1:1" ht="15.75" customHeight="1" x14ac:dyDescent="0.25">
      <c r="A514" s="7"/>
    </row>
    <row r="515" spans="1:1" ht="15.75" customHeight="1" x14ac:dyDescent="0.25">
      <c r="A515" s="7"/>
    </row>
    <row r="516" spans="1:1" ht="15.75" customHeight="1" x14ac:dyDescent="0.25">
      <c r="A516" s="7"/>
    </row>
    <row r="517" spans="1:1" ht="15.75" customHeight="1" x14ac:dyDescent="0.25">
      <c r="A517" s="7"/>
    </row>
    <row r="518" spans="1:1" ht="15.75" customHeight="1" x14ac:dyDescent="0.25">
      <c r="A518" s="7"/>
    </row>
    <row r="519" spans="1:1" ht="15.75" customHeight="1" x14ac:dyDescent="0.25">
      <c r="A519" s="7"/>
    </row>
    <row r="520" spans="1:1" ht="15.75" customHeight="1" x14ac:dyDescent="0.25">
      <c r="A520" s="7"/>
    </row>
    <row r="521" spans="1:1" ht="15.75" customHeight="1" x14ac:dyDescent="0.25">
      <c r="A521" s="7"/>
    </row>
    <row r="522" spans="1:1" ht="15.75" customHeight="1" x14ac:dyDescent="0.25">
      <c r="A522" s="7"/>
    </row>
    <row r="523" spans="1:1" ht="15.75" customHeight="1" x14ac:dyDescent="0.25">
      <c r="A523" s="7"/>
    </row>
    <row r="524" spans="1:1" ht="15.75" customHeight="1" x14ac:dyDescent="0.25">
      <c r="A524" s="7"/>
    </row>
    <row r="525" spans="1:1" ht="15.75" customHeight="1" x14ac:dyDescent="0.25">
      <c r="A525" s="7"/>
    </row>
    <row r="526" spans="1:1" ht="15.75" customHeight="1" x14ac:dyDescent="0.25">
      <c r="A526" s="7"/>
    </row>
    <row r="527" spans="1:1" ht="15.75" customHeight="1" x14ac:dyDescent="0.25">
      <c r="A527" s="7"/>
    </row>
    <row r="528" spans="1:1" ht="15.75" customHeight="1" x14ac:dyDescent="0.25">
      <c r="A528" s="7"/>
    </row>
    <row r="529" spans="1:1" ht="15.75" customHeight="1" x14ac:dyDescent="0.25">
      <c r="A529" s="7"/>
    </row>
    <row r="530" spans="1:1" ht="15.75" customHeight="1" x14ac:dyDescent="0.25">
      <c r="A530" s="7"/>
    </row>
    <row r="531" spans="1:1" ht="15.75" customHeight="1" x14ac:dyDescent="0.25">
      <c r="A531" s="7"/>
    </row>
    <row r="532" spans="1:1" ht="15.75" customHeight="1" x14ac:dyDescent="0.25">
      <c r="A532" s="7"/>
    </row>
    <row r="533" spans="1:1" ht="15.75" customHeight="1" x14ac:dyDescent="0.25">
      <c r="A533" s="7"/>
    </row>
    <row r="534" spans="1:1" ht="15.75" customHeight="1" x14ac:dyDescent="0.25">
      <c r="A534" s="7"/>
    </row>
    <row r="535" spans="1:1" ht="15.75" customHeight="1" x14ac:dyDescent="0.25">
      <c r="A535" s="7"/>
    </row>
    <row r="536" spans="1:1" ht="15.75" customHeight="1" x14ac:dyDescent="0.25">
      <c r="A536" s="7"/>
    </row>
    <row r="537" spans="1:1" ht="15.75" customHeight="1" x14ac:dyDescent="0.25">
      <c r="A537" s="7"/>
    </row>
    <row r="538" spans="1:1" ht="15.75" customHeight="1" x14ac:dyDescent="0.25">
      <c r="A538" s="7"/>
    </row>
    <row r="539" spans="1:1" ht="15.75" customHeight="1" x14ac:dyDescent="0.25">
      <c r="A539" s="7"/>
    </row>
    <row r="540" spans="1:1" ht="15.75" customHeight="1" x14ac:dyDescent="0.25">
      <c r="A540" s="7"/>
    </row>
    <row r="541" spans="1:1" ht="15.75" customHeight="1" x14ac:dyDescent="0.25">
      <c r="A541" s="7"/>
    </row>
    <row r="542" spans="1:1" ht="15.75" customHeight="1" x14ac:dyDescent="0.25">
      <c r="A542" s="7"/>
    </row>
    <row r="543" spans="1:1" ht="15.75" customHeight="1" x14ac:dyDescent="0.25">
      <c r="A543" s="7"/>
    </row>
    <row r="544" spans="1:1" ht="15.75" customHeight="1" x14ac:dyDescent="0.25">
      <c r="A544" s="7"/>
    </row>
    <row r="545" spans="1:1" ht="15.75" customHeight="1" x14ac:dyDescent="0.25">
      <c r="A545" s="7"/>
    </row>
    <row r="546" spans="1:1" ht="15.75" customHeight="1" x14ac:dyDescent="0.25">
      <c r="A546" s="7"/>
    </row>
    <row r="547" spans="1:1" ht="15.75" customHeight="1" x14ac:dyDescent="0.25">
      <c r="A547" s="7"/>
    </row>
    <row r="548" spans="1:1" ht="15.75" customHeight="1" x14ac:dyDescent="0.25">
      <c r="A548" s="7"/>
    </row>
    <row r="549" spans="1:1" ht="15.75" customHeight="1" x14ac:dyDescent="0.25">
      <c r="A549" s="7"/>
    </row>
    <row r="550" spans="1:1" ht="15.75" customHeight="1" x14ac:dyDescent="0.25">
      <c r="A550" s="7"/>
    </row>
    <row r="551" spans="1:1" ht="15.75" customHeight="1" x14ac:dyDescent="0.25">
      <c r="A551" s="7"/>
    </row>
    <row r="552" spans="1:1" ht="15.75" customHeight="1" x14ac:dyDescent="0.25">
      <c r="A552" s="7"/>
    </row>
    <row r="553" spans="1:1" ht="15.75" customHeight="1" x14ac:dyDescent="0.25">
      <c r="A553" s="7"/>
    </row>
    <row r="554" spans="1:1" ht="15.75" customHeight="1" x14ac:dyDescent="0.25">
      <c r="A554" s="7"/>
    </row>
    <row r="555" spans="1:1" ht="15.75" customHeight="1" x14ac:dyDescent="0.25">
      <c r="A555" s="7"/>
    </row>
    <row r="556" spans="1:1" ht="15.75" customHeight="1" x14ac:dyDescent="0.25">
      <c r="A556" s="7"/>
    </row>
    <row r="557" spans="1:1" ht="15.75" customHeight="1" x14ac:dyDescent="0.25">
      <c r="A557" s="7"/>
    </row>
    <row r="558" spans="1:1" ht="15.75" customHeight="1" x14ac:dyDescent="0.25">
      <c r="A558" s="7"/>
    </row>
    <row r="559" spans="1:1" ht="15.75" customHeight="1" x14ac:dyDescent="0.25">
      <c r="A559" s="7"/>
    </row>
    <row r="560" spans="1:1" ht="15.75" customHeight="1" x14ac:dyDescent="0.25">
      <c r="A560" s="7"/>
    </row>
    <row r="561" spans="1:1" ht="15.75" customHeight="1" x14ac:dyDescent="0.25">
      <c r="A561" s="7"/>
    </row>
    <row r="562" spans="1:1" ht="15.75" customHeight="1" x14ac:dyDescent="0.25">
      <c r="A562" s="7"/>
    </row>
    <row r="563" spans="1:1" ht="15.75" customHeight="1" x14ac:dyDescent="0.25">
      <c r="A563" s="7"/>
    </row>
    <row r="564" spans="1:1" ht="15.75" customHeight="1" x14ac:dyDescent="0.25">
      <c r="A564" s="7"/>
    </row>
    <row r="565" spans="1:1" ht="15.75" customHeight="1" x14ac:dyDescent="0.25">
      <c r="A565" s="7"/>
    </row>
    <row r="566" spans="1:1" ht="15.75" customHeight="1" x14ac:dyDescent="0.25">
      <c r="A566" s="7"/>
    </row>
    <row r="567" spans="1:1" ht="15.75" customHeight="1" x14ac:dyDescent="0.25">
      <c r="A567" s="7"/>
    </row>
    <row r="568" spans="1:1" ht="15.75" customHeight="1" x14ac:dyDescent="0.25">
      <c r="A568" s="7"/>
    </row>
    <row r="569" spans="1:1" ht="15.75" customHeight="1" x14ac:dyDescent="0.25">
      <c r="A569" s="7"/>
    </row>
    <row r="570" spans="1:1" ht="15.75" customHeight="1" x14ac:dyDescent="0.25">
      <c r="A570" s="7"/>
    </row>
    <row r="571" spans="1:1" ht="15.75" customHeight="1" x14ac:dyDescent="0.25">
      <c r="A571" s="7"/>
    </row>
    <row r="572" spans="1:1" ht="15.75" customHeight="1" x14ac:dyDescent="0.25">
      <c r="A572" s="7"/>
    </row>
    <row r="573" spans="1:1" ht="15.75" customHeight="1" x14ac:dyDescent="0.25">
      <c r="A573" s="7"/>
    </row>
    <row r="574" spans="1:1" ht="15.75" customHeight="1" x14ac:dyDescent="0.25">
      <c r="A574" s="7"/>
    </row>
    <row r="575" spans="1:1" ht="15.75" customHeight="1" x14ac:dyDescent="0.25">
      <c r="A575" s="7"/>
    </row>
    <row r="576" spans="1:1" ht="15.75" customHeight="1" x14ac:dyDescent="0.25">
      <c r="A576" s="7"/>
    </row>
    <row r="577" spans="1:1" ht="15.75" customHeight="1" x14ac:dyDescent="0.25">
      <c r="A577" s="7"/>
    </row>
    <row r="578" spans="1:1" ht="15.75" customHeight="1" x14ac:dyDescent="0.25">
      <c r="A578" s="7"/>
    </row>
    <row r="579" spans="1:1" ht="15.75" customHeight="1" x14ac:dyDescent="0.25">
      <c r="A579" s="7"/>
    </row>
    <row r="580" spans="1:1" ht="15.75" customHeight="1" x14ac:dyDescent="0.25">
      <c r="A580" s="7"/>
    </row>
    <row r="581" spans="1:1" ht="15.75" customHeight="1" x14ac:dyDescent="0.25">
      <c r="A581" s="7"/>
    </row>
    <row r="582" spans="1:1" ht="15.75" customHeight="1" x14ac:dyDescent="0.25">
      <c r="A582" s="7"/>
    </row>
    <row r="583" spans="1:1" ht="15.75" customHeight="1" x14ac:dyDescent="0.25">
      <c r="A583" s="7"/>
    </row>
    <row r="584" spans="1:1" ht="15.75" customHeight="1" x14ac:dyDescent="0.25">
      <c r="A584" s="7"/>
    </row>
    <row r="585" spans="1:1" ht="15.75" customHeight="1" x14ac:dyDescent="0.25">
      <c r="A585" s="7"/>
    </row>
    <row r="586" spans="1:1" ht="15.75" customHeight="1" x14ac:dyDescent="0.25">
      <c r="A586" s="7"/>
    </row>
    <row r="587" spans="1:1" ht="15.75" customHeight="1" x14ac:dyDescent="0.25">
      <c r="A587" s="7"/>
    </row>
    <row r="588" spans="1:1" ht="15.75" customHeight="1" x14ac:dyDescent="0.25">
      <c r="A588" s="7"/>
    </row>
    <row r="589" spans="1:1" ht="15.75" customHeight="1" x14ac:dyDescent="0.25">
      <c r="A589" s="7"/>
    </row>
    <row r="590" spans="1:1" ht="15.75" customHeight="1" x14ac:dyDescent="0.25">
      <c r="A590" s="7"/>
    </row>
    <row r="591" spans="1:1" ht="15.75" customHeight="1" x14ac:dyDescent="0.25">
      <c r="A591" s="7"/>
    </row>
    <row r="592" spans="1:1" ht="15.75" customHeight="1" x14ac:dyDescent="0.25">
      <c r="A592" s="7"/>
    </row>
    <row r="593" spans="1:1" ht="15.75" customHeight="1" x14ac:dyDescent="0.25">
      <c r="A593" s="7"/>
    </row>
    <row r="594" spans="1:1" ht="15.75" customHeight="1" x14ac:dyDescent="0.25">
      <c r="A594" s="7"/>
    </row>
    <row r="595" spans="1:1" ht="15.75" customHeight="1" x14ac:dyDescent="0.25">
      <c r="A595" s="7"/>
    </row>
    <row r="596" spans="1:1" ht="15.75" customHeight="1" x14ac:dyDescent="0.25">
      <c r="A596" s="7"/>
    </row>
    <row r="597" spans="1:1" ht="15.75" customHeight="1" x14ac:dyDescent="0.25">
      <c r="A597" s="7"/>
    </row>
    <row r="598" spans="1:1" ht="15.75" customHeight="1" x14ac:dyDescent="0.25">
      <c r="A598" s="7"/>
    </row>
    <row r="599" spans="1:1" ht="15.75" customHeight="1" x14ac:dyDescent="0.25">
      <c r="A599" s="7"/>
    </row>
    <row r="600" spans="1:1" ht="15.75" customHeight="1" x14ac:dyDescent="0.25">
      <c r="A600" s="7"/>
    </row>
    <row r="601" spans="1:1" ht="15.75" customHeight="1" x14ac:dyDescent="0.25">
      <c r="A601" s="7"/>
    </row>
    <row r="602" spans="1:1" ht="15.75" customHeight="1" x14ac:dyDescent="0.25">
      <c r="A602" s="7"/>
    </row>
    <row r="603" spans="1:1" ht="15.75" customHeight="1" x14ac:dyDescent="0.25">
      <c r="A603" s="7"/>
    </row>
    <row r="604" spans="1:1" ht="15.75" customHeight="1" x14ac:dyDescent="0.25">
      <c r="A604" s="7"/>
    </row>
    <row r="605" spans="1:1" ht="15.75" customHeight="1" x14ac:dyDescent="0.25">
      <c r="A605" s="7"/>
    </row>
    <row r="606" spans="1:1" ht="15.75" customHeight="1" x14ac:dyDescent="0.25">
      <c r="A606" s="7"/>
    </row>
    <row r="607" spans="1:1" ht="15.75" customHeight="1" x14ac:dyDescent="0.25">
      <c r="A607" s="7"/>
    </row>
    <row r="608" spans="1:1" ht="15.75" customHeight="1" x14ac:dyDescent="0.25">
      <c r="A608" s="7"/>
    </row>
    <row r="609" spans="1:1" ht="15.75" customHeight="1" x14ac:dyDescent="0.25">
      <c r="A609" s="7"/>
    </row>
    <row r="610" spans="1:1" ht="15.75" customHeight="1" x14ac:dyDescent="0.25">
      <c r="A610" s="7"/>
    </row>
    <row r="611" spans="1:1" ht="15.75" customHeight="1" x14ac:dyDescent="0.25">
      <c r="A611" s="7"/>
    </row>
    <row r="612" spans="1:1" ht="15.75" customHeight="1" x14ac:dyDescent="0.25">
      <c r="A612" s="7"/>
    </row>
    <row r="613" spans="1:1" ht="15.75" customHeight="1" x14ac:dyDescent="0.25">
      <c r="A613" s="7"/>
    </row>
    <row r="614" spans="1:1" ht="15.75" customHeight="1" x14ac:dyDescent="0.25">
      <c r="A614" s="7"/>
    </row>
    <row r="615" spans="1:1" ht="15.75" customHeight="1" x14ac:dyDescent="0.25">
      <c r="A615" s="7"/>
    </row>
    <row r="616" spans="1:1" ht="15.75" customHeight="1" x14ac:dyDescent="0.25">
      <c r="A616" s="7"/>
    </row>
    <row r="617" spans="1:1" ht="15.75" customHeight="1" x14ac:dyDescent="0.25">
      <c r="A617" s="7"/>
    </row>
    <row r="618" spans="1:1" ht="15.75" customHeight="1" x14ac:dyDescent="0.25">
      <c r="A618" s="7"/>
    </row>
    <row r="619" spans="1:1" ht="15.75" customHeight="1" x14ac:dyDescent="0.25">
      <c r="A619" s="7"/>
    </row>
    <row r="620" spans="1:1" ht="15.75" customHeight="1" x14ac:dyDescent="0.25">
      <c r="A620" s="7"/>
    </row>
    <row r="621" spans="1:1" ht="15.75" customHeight="1" x14ac:dyDescent="0.25">
      <c r="A621" s="7"/>
    </row>
    <row r="622" spans="1:1" ht="15.75" customHeight="1" x14ac:dyDescent="0.25">
      <c r="A622" s="7"/>
    </row>
    <row r="623" spans="1:1" ht="15.75" customHeight="1" x14ac:dyDescent="0.25">
      <c r="A623" s="7"/>
    </row>
    <row r="624" spans="1:1" ht="15.75" customHeight="1" x14ac:dyDescent="0.25">
      <c r="A624" s="7"/>
    </row>
    <row r="625" spans="1:1" ht="15.75" customHeight="1" x14ac:dyDescent="0.25">
      <c r="A625" s="7"/>
    </row>
    <row r="626" spans="1:1" ht="15.75" customHeight="1" x14ac:dyDescent="0.25">
      <c r="A626" s="7"/>
    </row>
    <row r="627" spans="1:1" ht="15.75" customHeight="1" x14ac:dyDescent="0.25">
      <c r="A627" s="7"/>
    </row>
    <row r="628" spans="1:1" ht="15.75" customHeight="1" x14ac:dyDescent="0.25">
      <c r="A628" s="7"/>
    </row>
    <row r="629" spans="1:1" ht="15.75" customHeight="1" x14ac:dyDescent="0.25">
      <c r="A629" s="7"/>
    </row>
    <row r="630" spans="1:1" ht="15.75" customHeight="1" x14ac:dyDescent="0.25">
      <c r="A630" s="7"/>
    </row>
    <row r="631" spans="1:1" ht="15.75" customHeight="1" x14ac:dyDescent="0.25">
      <c r="A631" s="7"/>
    </row>
    <row r="632" spans="1:1" ht="15.75" customHeight="1" x14ac:dyDescent="0.25">
      <c r="A632" s="7"/>
    </row>
    <row r="633" spans="1:1" ht="15.75" customHeight="1" x14ac:dyDescent="0.25">
      <c r="A633" s="7"/>
    </row>
    <row r="634" spans="1:1" ht="15.75" customHeight="1" x14ac:dyDescent="0.25">
      <c r="A634" s="7"/>
    </row>
    <row r="635" spans="1:1" ht="15.75" customHeight="1" x14ac:dyDescent="0.25">
      <c r="A635" s="7"/>
    </row>
    <row r="636" spans="1:1" ht="15.75" customHeight="1" x14ac:dyDescent="0.25">
      <c r="A636" s="7"/>
    </row>
    <row r="637" spans="1:1" ht="15.75" customHeight="1" x14ac:dyDescent="0.25">
      <c r="A637" s="7"/>
    </row>
    <row r="638" spans="1:1" ht="15.75" customHeight="1" x14ac:dyDescent="0.25">
      <c r="A638" s="7"/>
    </row>
    <row r="639" spans="1:1" ht="15.75" customHeight="1" x14ac:dyDescent="0.25">
      <c r="A639" s="7"/>
    </row>
    <row r="640" spans="1:1" ht="15.75" customHeight="1" x14ac:dyDescent="0.25">
      <c r="A640" s="7"/>
    </row>
    <row r="641" spans="1:1" ht="15.75" customHeight="1" x14ac:dyDescent="0.25">
      <c r="A641" s="7"/>
    </row>
    <row r="642" spans="1:1" ht="15.75" customHeight="1" x14ac:dyDescent="0.25">
      <c r="A642" s="7"/>
    </row>
    <row r="643" spans="1:1" ht="15.75" customHeight="1" x14ac:dyDescent="0.25">
      <c r="A643" s="7"/>
    </row>
    <row r="644" spans="1:1" ht="15.75" customHeight="1" x14ac:dyDescent="0.25">
      <c r="A644" s="7"/>
    </row>
    <row r="645" spans="1:1" ht="15.75" customHeight="1" x14ac:dyDescent="0.25">
      <c r="A645" s="7"/>
    </row>
    <row r="646" spans="1:1" ht="15.75" customHeight="1" x14ac:dyDescent="0.25">
      <c r="A646" s="7"/>
    </row>
    <row r="647" spans="1:1" ht="15.75" customHeight="1" x14ac:dyDescent="0.25">
      <c r="A647" s="7"/>
    </row>
    <row r="648" spans="1:1" ht="15.75" customHeight="1" x14ac:dyDescent="0.25">
      <c r="A648" s="7"/>
    </row>
    <row r="649" spans="1:1" ht="15.75" customHeight="1" x14ac:dyDescent="0.25">
      <c r="A649" s="7"/>
    </row>
    <row r="650" spans="1:1" ht="15.75" customHeight="1" x14ac:dyDescent="0.25">
      <c r="A650" s="7"/>
    </row>
    <row r="651" spans="1:1" ht="15.75" customHeight="1" x14ac:dyDescent="0.25">
      <c r="A651" s="7"/>
    </row>
    <row r="652" spans="1:1" ht="15.75" customHeight="1" x14ac:dyDescent="0.25">
      <c r="A652" s="7"/>
    </row>
    <row r="653" spans="1:1" ht="15.75" customHeight="1" x14ac:dyDescent="0.25">
      <c r="A653" s="7"/>
    </row>
    <row r="654" spans="1:1" ht="15.75" customHeight="1" x14ac:dyDescent="0.25">
      <c r="A654" s="7"/>
    </row>
    <row r="655" spans="1:1" ht="15.75" customHeight="1" x14ac:dyDescent="0.25">
      <c r="A655" s="7"/>
    </row>
    <row r="656" spans="1:1" ht="15.75" customHeight="1" x14ac:dyDescent="0.25">
      <c r="A656" s="7"/>
    </row>
    <row r="657" spans="1:1" ht="15.75" customHeight="1" x14ac:dyDescent="0.25">
      <c r="A657" s="7"/>
    </row>
    <row r="658" spans="1:1" ht="15.75" customHeight="1" x14ac:dyDescent="0.25">
      <c r="A658" s="7"/>
    </row>
    <row r="659" spans="1:1" ht="15.75" customHeight="1" x14ac:dyDescent="0.25">
      <c r="A659" s="7"/>
    </row>
    <row r="660" spans="1:1" ht="15.75" customHeight="1" x14ac:dyDescent="0.25">
      <c r="A660" s="7"/>
    </row>
    <row r="661" spans="1:1" ht="15.75" customHeight="1" x14ac:dyDescent="0.25">
      <c r="A661" s="7"/>
    </row>
    <row r="662" spans="1:1" ht="15.75" customHeight="1" x14ac:dyDescent="0.25">
      <c r="A662" s="7"/>
    </row>
    <row r="663" spans="1:1" ht="15.75" customHeight="1" x14ac:dyDescent="0.25">
      <c r="A663" s="7"/>
    </row>
    <row r="664" spans="1:1" ht="15.75" customHeight="1" x14ac:dyDescent="0.25">
      <c r="A664" s="7"/>
    </row>
    <row r="665" spans="1:1" ht="15.75" customHeight="1" x14ac:dyDescent="0.25">
      <c r="A665" s="7"/>
    </row>
    <row r="666" spans="1:1" ht="15.75" customHeight="1" x14ac:dyDescent="0.25">
      <c r="A666" s="7"/>
    </row>
    <row r="667" spans="1:1" ht="15.75" customHeight="1" x14ac:dyDescent="0.25">
      <c r="A667" s="7"/>
    </row>
    <row r="668" spans="1:1" ht="15.75" customHeight="1" x14ac:dyDescent="0.25">
      <c r="A668" s="7"/>
    </row>
    <row r="669" spans="1:1" ht="15.75" customHeight="1" x14ac:dyDescent="0.25">
      <c r="A669" s="7"/>
    </row>
    <row r="670" spans="1:1" ht="15.75" customHeight="1" x14ac:dyDescent="0.25">
      <c r="A670" s="7"/>
    </row>
    <row r="671" spans="1:1" ht="15.75" customHeight="1" x14ac:dyDescent="0.25">
      <c r="A671" s="7"/>
    </row>
    <row r="672" spans="1:1" ht="15.75" customHeight="1" x14ac:dyDescent="0.25">
      <c r="A672" s="7"/>
    </row>
    <row r="673" spans="1:1" ht="15.75" customHeight="1" x14ac:dyDescent="0.25">
      <c r="A673" s="7"/>
    </row>
    <row r="674" spans="1:1" ht="15.75" customHeight="1" x14ac:dyDescent="0.25">
      <c r="A674" s="7"/>
    </row>
    <row r="675" spans="1:1" ht="15.75" customHeight="1" x14ac:dyDescent="0.25">
      <c r="A675" s="7"/>
    </row>
    <row r="676" spans="1:1" ht="15.75" customHeight="1" x14ac:dyDescent="0.25">
      <c r="A676" s="7"/>
    </row>
    <row r="677" spans="1:1" ht="15.75" customHeight="1" x14ac:dyDescent="0.25">
      <c r="A677" s="7"/>
    </row>
    <row r="678" spans="1:1" ht="15.75" customHeight="1" x14ac:dyDescent="0.25">
      <c r="A678" s="7"/>
    </row>
    <row r="679" spans="1:1" ht="15.75" customHeight="1" x14ac:dyDescent="0.25">
      <c r="A679" s="7"/>
    </row>
    <row r="680" spans="1:1" ht="15.75" customHeight="1" x14ac:dyDescent="0.25">
      <c r="A680" s="7"/>
    </row>
    <row r="681" spans="1:1" ht="15.75" customHeight="1" x14ac:dyDescent="0.25">
      <c r="A681" s="7"/>
    </row>
    <row r="682" spans="1:1" ht="15.75" customHeight="1" x14ac:dyDescent="0.25">
      <c r="A682" s="7"/>
    </row>
    <row r="683" spans="1:1" ht="15.75" customHeight="1" x14ac:dyDescent="0.25">
      <c r="A683" s="7"/>
    </row>
    <row r="684" spans="1:1" ht="15.75" customHeight="1" x14ac:dyDescent="0.25">
      <c r="A684" s="7"/>
    </row>
    <row r="685" spans="1:1" ht="15.75" customHeight="1" x14ac:dyDescent="0.25">
      <c r="A685" s="7"/>
    </row>
    <row r="686" spans="1:1" ht="15.75" customHeight="1" x14ac:dyDescent="0.25">
      <c r="A686" s="7"/>
    </row>
    <row r="687" spans="1:1" ht="15.75" customHeight="1" x14ac:dyDescent="0.25">
      <c r="A687" s="7"/>
    </row>
    <row r="688" spans="1:1" ht="15.75" customHeight="1" x14ac:dyDescent="0.25">
      <c r="A688" s="7"/>
    </row>
    <row r="689" spans="1:1" ht="15.75" customHeight="1" x14ac:dyDescent="0.25">
      <c r="A689" s="7"/>
    </row>
    <row r="690" spans="1:1" ht="15.75" customHeight="1" x14ac:dyDescent="0.25">
      <c r="A690" s="7"/>
    </row>
    <row r="691" spans="1:1" ht="15.75" customHeight="1" x14ac:dyDescent="0.25">
      <c r="A691" s="7"/>
    </row>
    <row r="692" spans="1:1" ht="15.75" customHeight="1" x14ac:dyDescent="0.25">
      <c r="A692" s="7"/>
    </row>
    <row r="693" spans="1:1" ht="15.75" customHeight="1" x14ac:dyDescent="0.25">
      <c r="A693" s="7"/>
    </row>
    <row r="694" spans="1:1" ht="15.75" customHeight="1" x14ac:dyDescent="0.25">
      <c r="A694" s="7"/>
    </row>
    <row r="695" spans="1:1" ht="15.75" customHeight="1" x14ac:dyDescent="0.25">
      <c r="A695" s="7"/>
    </row>
    <row r="696" spans="1:1" ht="15.75" customHeight="1" x14ac:dyDescent="0.25">
      <c r="A696" s="7"/>
    </row>
    <row r="697" spans="1:1" ht="15.75" customHeight="1" x14ac:dyDescent="0.25">
      <c r="A697" s="7"/>
    </row>
    <row r="698" spans="1:1" ht="15.75" customHeight="1" x14ac:dyDescent="0.25">
      <c r="A698" s="7"/>
    </row>
    <row r="699" spans="1:1" ht="15.75" customHeight="1" x14ac:dyDescent="0.25">
      <c r="A699" s="7"/>
    </row>
    <row r="700" spans="1:1" ht="15.75" customHeight="1" x14ac:dyDescent="0.25">
      <c r="A700" s="7"/>
    </row>
    <row r="701" spans="1:1" ht="15.75" customHeight="1" x14ac:dyDescent="0.25">
      <c r="A701" s="7"/>
    </row>
    <row r="702" spans="1:1" ht="15.75" customHeight="1" x14ac:dyDescent="0.25">
      <c r="A702" s="7"/>
    </row>
    <row r="703" spans="1:1" ht="15.75" customHeight="1" x14ac:dyDescent="0.25">
      <c r="A703" s="7"/>
    </row>
    <row r="704" spans="1:1" ht="15.75" customHeight="1" x14ac:dyDescent="0.25">
      <c r="A704" s="7"/>
    </row>
    <row r="705" spans="1:1" ht="15.75" customHeight="1" x14ac:dyDescent="0.25">
      <c r="A705" s="7"/>
    </row>
    <row r="706" spans="1:1" ht="15.75" customHeight="1" x14ac:dyDescent="0.25">
      <c r="A706" s="7"/>
    </row>
    <row r="707" spans="1:1" ht="15.75" customHeight="1" x14ac:dyDescent="0.25">
      <c r="A707" s="7"/>
    </row>
    <row r="708" spans="1:1" ht="15.75" customHeight="1" x14ac:dyDescent="0.25">
      <c r="A708" s="7"/>
    </row>
    <row r="709" spans="1:1" ht="15.75" customHeight="1" x14ac:dyDescent="0.25">
      <c r="A709" s="7"/>
    </row>
    <row r="710" spans="1:1" ht="15.75" customHeight="1" x14ac:dyDescent="0.25">
      <c r="A710" s="7"/>
    </row>
    <row r="711" spans="1:1" ht="15.75" customHeight="1" x14ac:dyDescent="0.25">
      <c r="A711" s="7"/>
    </row>
    <row r="712" spans="1:1" ht="15.75" customHeight="1" x14ac:dyDescent="0.25">
      <c r="A712" s="7"/>
    </row>
    <row r="713" spans="1:1" ht="15.75" customHeight="1" x14ac:dyDescent="0.25">
      <c r="A713" s="7"/>
    </row>
    <row r="714" spans="1:1" ht="15.75" customHeight="1" x14ac:dyDescent="0.25">
      <c r="A714" s="7"/>
    </row>
    <row r="715" spans="1:1" ht="15.75" customHeight="1" x14ac:dyDescent="0.25">
      <c r="A715" s="7"/>
    </row>
    <row r="716" spans="1:1" ht="15.75" customHeight="1" x14ac:dyDescent="0.25">
      <c r="A716" s="7"/>
    </row>
    <row r="717" spans="1:1" ht="15.75" customHeight="1" x14ac:dyDescent="0.25">
      <c r="A717" s="7"/>
    </row>
    <row r="718" spans="1:1" ht="15.75" customHeight="1" x14ac:dyDescent="0.25">
      <c r="A718" s="7"/>
    </row>
    <row r="719" spans="1:1" ht="15.75" customHeight="1" x14ac:dyDescent="0.25">
      <c r="A719" s="7"/>
    </row>
    <row r="720" spans="1:1" ht="15.75" customHeight="1" x14ac:dyDescent="0.25">
      <c r="A720" s="7"/>
    </row>
    <row r="721" spans="1:1" ht="15.75" customHeight="1" x14ac:dyDescent="0.25">
      <c r="A721" s="7"/>
    </row>
    <row r="722" spans="1:1" ht="15.75" customHeight="1" x14ac:dyDescent="0.25">
      <c r="A722" s="7"/>
    </row>
    <row r="723" spans="1:1" ht="15.75" customHeight="1" x14ac:dyDescent="0.25">
      <c r="A723" s="7"/>
    </row>
    <row r="724" spans="1:1" ht="15.75" customHeight="1" x14ac:dyDescent="0.25">
      <c r="A724" s="7"/>
    </row>
    <row r="725" spans="1:1" ht="15.75" customHeight="1" x14ac:dyDescent="0.25">
      <c r="A725" s="7"/>
    </row>
    <row r="726" spans="1:1" ht="15.75" customHeight="1" x14ac:dyDescent="0.25">
      <c r="A726" s="7"/>
    </row>
    <row r="727" spans="1:1" ht="15.75" customHeight="1" x14ac:dyDescent="0.25">
      <c r="A727" s="7"/>
    </row>
    <row r="728" spans="1:1" ht="15.75" customHeight="1" x14ac:dyDescent="0.25">
      <c r="A728" s="7"/>
    </row>
    <row r="729" spans="1:1" ht="15.75" customHeight="1" x14ac:dyDescent="0.25">
      <c r="A729" s="7"/>
    </row>
    <row r="730" spans="1:1" ht="15.75" customHeight="1" x14ac:dyDescent="0.25">
      <c r="A730" s="7"/>
    </row>
    <row r="731" spans="1:1" ht="15.75" customHeight="1" x14ac:dyDescent="0.25">
      <c r="A731" s="7"/>
    </row>
    <row r="732" spans="1:1" ht="15.75" customHeight="1" x14ac:dyDescent="0.25">
      <c r="A732" s="7"/>
    </row>
    <row r="733" spans="1:1" ht="15.75" customHeight="1" x14ac:dyDescent="0.25">
      <c r="A733" s="7"/>
    </row>
    <row r="734" spans="1:1" ht="15.75" customHeight="1" x14ac:dyDescent="0.25">
      <c r="A734" s="7"/>
    </row>
    <row r="735" spans="1:1" ht="15.75" customHeight="1" x14ac:dyDescent="0.25">
      <c r="A735" s="7"/>
    </row>
    <row r="736" spans="1:1" ht="15.75" customHeight="1" x14ac:dyDescent="0.25">
      <c r="A736" s="7"/>
    </row>
    <row r="737" spans="1:1" ht="15.75" customHeight="1" x14ac:dyDescent="0.25">
      <c r="A737" s="7"/>
    </row>
    <row r="738" spans="1:1" ht="15.75" customHeight="1" x14ac:dyDescent="0.25">
      <c r="A738" s="7"/>
    </row>
    <row r="739" spans="1:1" ht="15.75" customHeight="1" x14ac:dyDescent="0.25">
      <c r="A739" s="7"/>
    </row>
    <row r="740" spans="1:1" ht="15.75" customHeight="1" x14ac:dyDescent="0.25">
      <c r="A740" s="7"/>
    </row>
    <row r="741" spans="1:1" ht="15.75" customHeight="1" x14ac:dyDescent="0.25">
      <c r="A741" s="7"/>
    </row>
    <row r="742" spans="1:1" ht="15.75" customHeight="1" x14ac:dyDescent="0.25">
      <c r="A742" s="7"/>
    </row>
    <row r="743" spans="1:1" ht="15.75" customHeight="1" x14ac:dyDescent="0.25">
      <c r="A743" s="7"/>
    </row>
    <row r="744" spans="1:1" ht="15.75" customHeight="1" x14ac:dyDescent="0.25">
      <c r="A744" s="7"/>
    </row>
    <row r="745" spans="1:1" ht="15.75" customHeight="1" x14ac:dyDescent="0.25">
      <c r="A745" s="7"/>
    </row>
    <row r="746" spans="1:1" ht="15.75" customHeight="1" x14ac:dyDescent="0.25">
      <c r="A746" s="7"/>
    </row>
    <row r="747" spans="1:1" ht="15.75" customHeight="1" x14ac:dyDescent="0.25">
      <c r="A747" s="7"/>
    </row>
    <row r="748" spans="1:1" ht="15.75" customHeight="1" x14ac:dyDescent="0.25">
      <c r="A748" s="7"/>
    </row>
    <row r="749" spans="1:1" ht="15.75" customHeight="1" x14ac:dyDescent="0.25">
      <c r="A749" s="7"/>
    </row>
    <row r="750" spans="1:1" ht="15.75" customHeight="1" x14ac:dyDescent="0.25">
      <c r="A750" s="7"/>
    </row>
    <row r="751" spans="1:1" ht="15.75" customHeight="1" x14ac:dyDescent="0.25">
      <c r="A751" s="7"/>
    </row>
    <row r="752" spans="1:1" ht="15.75" customHeight="1" x14ac:dyDescent="0.25">
      <c r="A752" s="7"/>
    </row>
    <row r="753" spans="1:1" ht="15.75" customHeight="1" x14ac:dyDescent="0.25">
      <c r="A753" s="7"/>
    </row>
    <row r="754" spans="1:1" ht="15.75" customHeight="1" x14ac:dyDescent="0.25">
      <c r="A754" s="7"/>
    </row>
    <row r="755" spans="1:1" ht="15.75" customHeight="1" x14ac:dyDescent="0.25">
      <c r="A755" s="7"/>
    </row>
    <row r="756" spans="1:1" ht="15.75" customHeight="1" x14ac:dyDescent="0.25">
      <c r="A756" s="7"/>
    </row>
    <row r="757" spans="1:1" ht="15.75" customHeight="1" x14ac:dyDescent="0.25">
      <c r="A757" s="7"/>
    </row>
    <row r="758" spans="1:1" ht="15.75" customHeight="1" x14ac:dyDescent="0.25">
      <c r="A758" s="7"/>
    </row>
    <row r="759" spans="1:1" ht="15.75" customHeight="1" x14ac:dyDescent="0.25">
      <c r="A759" s="7"/>
    </row>
    <row r="760" spans="1:1" ht="15.75" customHeight="1" x14ac:dyDescent="0.25">
      <c r="A760" s="7"/>
    </row>
    <row r="761" spans="1:1" ht="15.75" customHeight="1" x14ac:dyDescent="0.25">
      <c r="A761" s="7"/>
    </row>
    <row r="762" spans="1:1" ht="15.75" customHeight="1" x14ac:dyDescent="0.25">
      <c r="A762" s="7"/>
    </row>
    <row r="763" spans="1:1" ht="15.75" customHeight="1" x14ac:dyDescent="0.25">
      <c r="A763" s="7"/>
    </row>
    <row r="764" spans="1:1" ht="15.75" customHeight="1" x14ac:dyDescent="0.25">
      <c r="A764" s="7"/>
    </row>
    <row r="765" spans="1:1" ht="15.75" customHeight="1" x14ac:dyDescent="0.25">
      <c r="A765" s="7"/>
    </row>
    <row r="766" spans="1:1" ht="15.75" customHeight="1" x14ac:dyDescent="0.25">
      <c r="A766" s="7"/>
    </row>
    <row r="767" spans="1:1" ht="15.75" customHeight="1" x14ac:dyDescent="0.25">
      <c r="A767" s="7"/>
    </row>
    <row r="768" spans="1:1" ht="15.75" customHeight="1" x14ac:dyDescent="0.25">
      <c r="A768" s="7"/>
    </row>
    <row r="769" spans="1:1" ht="15.75" customHeight="1" x14ac:dyDescent="0.25">
      <c r="A769" s="7"/>
    </row>
    <row r="770" spans="1:1" ht="15.75" customHeight="1" x14ac:dyDescent="0.25">
      <c r="A770" s="7"/>
    </row>
    <row r="771" spans="1:1" ht="15.75" customHeight="1" x14ac:dyDescent="0.25">
      <c r="A771" s="7"/>
    </row>
    <row r="772" spans="1:1" ht="15.75" customHeight="1" x14ac:dyDescent="0.25">
      <c r="A772" s="7"/>
    </row>
    <row r="773" spans="1:1" ht="15.75" customHeight="1" x14ac:dyDescent="0.25">
      <c r="A773" s="7"/>
    </row>
    <row r="774" spans="1:1" ht="15.75" customHeight="1" x14ac:dyDescent="0.25">
      <c r="A774" s="7"/>
    </row>
    <row r="775" spans="1:1" ht="15.75" customHeight="1" x14ac:dyDescent="0.25">
      <c r="A775" s="7"/>
    </row>
    <row r="776" spans="1:1" ht="15.75" customHeight="1" x14ac:dyDescent="0.25">
      <c r="A776" s="7"/>
    </row>
    <row r="777" spans="1:1" ht="15.75" customHeight="1" x14ac:dyDescent="0.25">
      <c r="A777" s="7"/>
    </row>
    <row r="778" spans="1:1" ht="15.75" customHeight="1" x14ac:dyDescent="0.25">
      <c r="A778" s="7"/>
    </row>
    <row r="779" spans="1:1" ht="15.75" customHeight="1" x14ac:dyDescent="0.25">
      <c r="A779" s="7"/>
    </row>
    <row r="780" spans="1:1" ht="15.75" customHeight="1" x14ac:dyDescent="0.25">
      <c r="A780" s="7"/>
    </row>
    <row r="781" spans="1:1" ht="15.75" customHeight="1" x14ac:dyDescent="0.25">
      <c r="A781" s="7"/>
    </row>
    <row r="782" spans="1:1" ht="15.75" customHeight="1" x14ac:dyDescent="0.25">
      <c r="A782" s="7"/>
    </row>
    <row r="783" spans="1:1" ht="15.75" customHeight="1" x14ac:dyDescent="0.25">
      <c r="A783" s="7"/>
    </row>
    <row r="784" spans="1:1" ht="15.75" customHeight="1" x14ac:dyDescent="0.25">
      <c r="A784" s="7"/>
    </row>
    <row r="785" spans="1:1" ht="15.75" customHeight="1" x14ac:dyDescent="0.25">
      <c r="A785" s="7"/>
    </row>
    <row r="786" spans="1:1" ht="15.75" customHeight="1" x14ac:dyDescent="0.25">
      <c r="A786" s="7"/>
    </row>
    <row r="787" spans="1:1" ht="15.75" customHeight="1" x14ac:dyDescent="0.25">
      <c r="A787" s="7"/>
    </row>
    <row r="788" spans="1:1" ht="15.75" customHeight="1" x14ac:dyDescent="0.25">
      <c r="A788" s="7"/>
    </row>
    <row r="789" spans="1:1" ht="15.75" customHeight="1" x14ac:dyDescent="0.25">
      <c r="A789" s="7"/>
    </row>
    <row r="790" spans="1:1" ht="15.75" customHeight="1" x14ac:dyDescent="0.25">
      <c r="A790" s="7"/>
    </row>
    <row r="791" spans="1:1" ht="15.75" customHeight="1" x14ac:dyDescent="0.25">
      <c r="A791" s="7"/>
    </row>
    <row r="792" spans="1:1" ht="15.75" customHeight="1" x14ac:dyDescent="0.25">
      <c r="A792" s="7"/>
    </row>
    <row r="793" spans="1:1" ht="15.75" customHeight="1" x14ac:dyDescent="0.25">
      <c r="A793" s="7"/>
    </row>
    <row r="794" spans="1:1" ht="15.75" customHeight="1" x14ac:dyDescent="0.25">
      <c r="A794" s="7"/>
    </row>
    <row r="795" spans="1:1" ht="15.75" customHeight="1" x14ac:dyDescent="0.25">
      <c r="A795" s="7"/>
    </row>
    <row r="796" spans="1:1" ht="15.75" customHeight="1" x14ac:dyDescent="0.25">
      <c r="A796" s="7"/>
    </row>
    <row r="797" spans="1:1" ht="15.75" customHeight="1" x14ac:dyDescent="0.25">
      <c r="A797" s="7"/>
    </row>
    <row r="798" spans="1:1" ht="15.75" customHeight="1" x14ac:dyDescent="0.25">
      <c r="A798" s="7"/>
    </row>
    <row r="799" spans="1:1" ht="15.75" customHeight="1" x14ac:dyDescent="0.25">
      <c r="A799" s="7"/>
    </row>
    <row r="800" spans="1:1" ht="15.75" customHeight="1" x14ac:dyDescent="0.25">
      <c r="A800" s="7"/>
    </row>
    <row r="801" spans="1:1" ht="15.75" customHeight="1" x14ac:dyDescent="0.25">
      <c r="A801" s="7"/>
    </row>
    <row r="802" spans="1:1" ht="15.75" customHeight="1" x14ac:dyDescent="0.25">
      <c r="A802" s="7"/>
    </row>
    <row r="803" spans="1:1" ht="15.75" customHeight="1" x14ac:dyDescent="0.25">
      <c r="A803" s="7"/>
    </row>
    <row r="804" spans="1:1" ht="15.75" customHeight="1" x14ac:dyDescent="0.25">
      <c r="A804" s="7"/>
    </row>
    <row r="805" spans="1:1" ht="15.75" customHeight="1" x14ac:dyDescent="0.25">
      <c r="A805" s="7"/>
    </row>
    <row r="806" spans="1:1" ht="15.75" customHeight="1" x14ac:dyDescent="0.25">
      <c r="A806" s="7"/>
    </row>
    <row r="807" spans="1:1" ht="15.75" customHeight="1" x14ac:dyDescent="0.25">
      <c r="A807" s="7"/>
    </row>
    <row r="808" spans="1:1" ht="15.75" customHeight="1" x14ac:dyDescent="0.25">
      <c r="A808" s="7"/>
    </row>
    <row r="809" spans="1:1" ht="15.75" customHeight="1" x14ac:dyDescent="0.25">
      <c r="A809" s="7"/>
    </row>
    <row r="810" spans="1:1" ht="15.75" customHeight="1" x14ac:dyDescent="0.25">
      <c r="A810" s="7"/>
    </row>
    <row r="811" spans="1:1" ht="15.75" customHeight="1" x14ac:dyDescent="0.25">
      <c r="A811" s="7"/>
    </row>
    <row r="812" spans="1:1" ht="15.75" customHeight="1" x14ac:dyDescent="0.25">
      <c r="A812" s="7"/>
    </row>
    <row r="813" spans="1:1" ht="15.75" customHeight="1" x14ac:dyDescent="0.25">
      <c r="A813" s="7"/>
    </row>
    <row r="814" spans="1:1" ht="15.75" customHeight="1" x14ac:dyDescent="0.25">
      <c r="A814" s="7"/>
    </row>
    <row r="815" spans="1:1" ht="15.75" customHeight="1" x14ac:dyDescent="0.25">
      <c r="A815" s="7"/>
    </row>
    <row r="816" spans="1:1" ht="15.75" customHeight="1" x14ac:dyDescent="0.25">
      <c r="A816" s="7"/>
    </row>
    <row r="817" spans="1:1" ht="15.75" customHeight="1" x14ac:dyDescent="0.25">
      <c r="A817" s="7"/>
    </row>
    <row r="818" spans="1:1" ht="15.75" customHeight="1" x14ac:dyDescent="0.25">
      <c r="A818" s="7"/>
    </row>
    <row r="819" spans="1:1" ht="15.75" customHeight="1" x14ac:dyDescent="0.25">
      <c r="A819" s="7"/>
    </row>
    <row r="820" spans="1:1" ht="15.75" customHeight="1" x14ac:dyDescent="0.25">
      <c r="A820" s="7"/>
    </row>
    <row r="821" spans="1:1" ht="15.75" customHeight="1" x14ac:dyDescent="0.25">
      <c r="A821" s="7"/>
    </row>
    <row r="822" spans="1:1" ht="15.75" customHeight="1" x14ac:dyDescent="0.25">
      <c r="A822" s="7"/>
    </row>
    <row r="823" spans="1:1" ht="15.75" customHeight="1" x14ac:dyDescent="0.25">
      <c r="A823" s="7"/>
    </row>
    <row r="824" spans="1:1" ht="15.75" customHeight="1" x14ac:dyDescent="0.25">
      <c r="A824" s="7"/>
    </row>
    <row r="825" spans="1:1" ht="15.75" customHeight="1" x14ac:dyDescent="0.25">
      <c r="A825" s="7"/>
    </row>
    <row r="826" spans="1:1" ht="15.75" customHeight="1" x14ac:dyDescent="0.25">
      <c r="A826" s="7"/>
    </row>
    <row r="827" spans="1:1" ht="15.75" customHeight="1" x14ac:dyDescent="0.25">
      <c r="A827" s="7"/>
    </row>
    <row r="828" spans="1:1" ht="15.75" customHeight="1" x14ac:dyDescent="0.25">
      <c r="A828" s="7"/>
    </row>
    <row r="829" spans="1:1" ht="15.75" customHeight="1" x14ac:dyDescent="0.25">
      <c r="A829" s="7"/>
    </row>
    <row r="830" spans="1:1" ht="15.75" customHeight="1" x14ac:dyDescent="0.25">
      <c r="A830" s="7"/>
    </row>
    <row r="831" spans="1:1" ht="15.75" customHeight="1" x14ac:dyDescent="0.25">
      <c r="A831" s="7"/>
    </row>
    <row r="832" spans="1:1" ht="15.75" customHeight="1" x14ac:dyDescent="0.25">
      <c r="A832" s="7"/>
    </row>
    <row r="833" spans="1:1" ht="15.75" customHeight="1" x14ac:dyDescent="0.25">
      <c r="A833" s="7"/>
    </row>
    <row r="834" spans="1:1" ht="15.75" customHeight="1" x14ac:dyDescent="0.25">
      <c r="A834" s="7"/>
    </row>
    <row r="835" spans="1:1" ht="15.75" customHeight="1" x14ac:dyDescent="0.25">
      <c r="A835" s="7"/>
    </row>
    <row r="836" spans="1:1" ht="15.75" customHeight="1" x14ac:dyDescent="0.25">
      <c r="A836" s="7"/>
    </row>
    <row r="837" spans="1:1" ht="15.75" customHeight="1" x14ac:dyDescent="0.25">
      <c r="A837" s="7"/>
    </row>
    <row r="838" spans="1:1" ht="15.75" customHeight="1" x14ac:dyDescent="0.25">
      <c r="A838" s="7"/>
    </row>
    <row r="839" spans="1:1" ht="15.75" customHeight="1" x14ac:dyDescent="0.25">
      <c r="A839" s="7"/>
    </row>
    <row r="840" spans="1:1" ht="15.75" customHeight="1" x14ac:dyDescent="0.25">
      <c r="A840" s="7"/>
    </row>
    <row r="841" spans="1:1" ht="15.75" customHeight="1" x14ac:dyDescent="0.25">
      <c r="A841" s="7"/>
    </row>
    <row r="842" spans="1:1" ht="15.75" customHeight="1" x14ac:dyDescent="0.25">
      <c r="A842" s="7"/>
    </row>
    <row r="843" spans="1:1" ht="15.75" customHeight="1" x14ac:dyDescent="0.25">
      <c r="A843" s="7"/>
    </row>
    <row r="844" spans="1:1" ht="15.75" customHeight="1" x14ac:dyDescent="0.25">
      <c r="A844" s="7"/>
    </row>
    <row r="845" spans="1:1" ht="15.75" customHeight="1" x14ac:dyDescent="0.25">
      <c r="A845" s="7"/>
    </row>
    <row r="846" spans="1:1" ht="15.75" customHeight="1" x14ac:dyDescent="0.25">
      <c r="A846" s="7"/>
    </row>
    <row r="847" spans="1:1" ht="15.75" customHeight="1" x14ac:dyDescent="0.25">
      <c r="A847" s="7"/>
    </row>
    <row r="848" spans="1:1" ht="15.75" customHeight="1" x14ac:dyDescent="0.25">
      <c r="A848" s="7"/>
    </row>
    <row r="849" spans="1:1" ht="15.75" customHeight="1" x14ac:dyDescent="0.25">
      <c r="A849" s="7"/>
    </row>
    <row r="850" spans="1:1" ht="15.75" customHeight="1" x14ac:dyDescent="0.25">
      <c r="A850" s="7"/>
    </row>
    <row r="851" spans="1:1" ht="15.75" customHeight="1" x14ac:dyDescent="0.25">
      <c r="A851" s="7"/>
    </row>
    <row r="852" spans="1:1" ht="15.75" customHeight="1" x14ac:dyDescent="0.25">
      <c r="A852" s="7"/>
    </row>
    <row r="853" spans="1:1" ht="15.75" customHeight="1" x14ac:dyDescent="0.25">
      <c r="A853" s="7"/>
    </row>
    <row r="854" spans="1:1" ht="15.75" customHeight="1" x14ac:dyDescent="0.25">
      <c r="A854" s="7"/>
    </row>
    <row r="855" spans="1:1" ht="15.75" customHeight="1" x14ac:dyDescent="0.25">
      <c r="A855" s="7"/>
    </row>
    <row r="856" spans="1:1" ht="15.75" customHeight="1" x14ac:dyDescent="0.25">
      <c r="A856" s="7"/>
    </row>
    <row r="857" spans="1:1" ht="15.75" customHeight="1" x14ac:dyDescent="0.25">
      <c r="A857" s="7"/>
    </row>
    <row r="858" spans="1:1" ht="15.75" customHeight="1" x14ac:dyDescent="0.25">
      <c r="A858" s="7"/>
    </row>
    <row r="859" spans="1:1" ht="15.75" customHeight="1" x14ac:dyDescent="0.25">
      <c r="A859" s="7"/>
    </row>
    <row r="860" spans="1:1" ht="15.75" customHeight="1" x14ac:dyDescent="0.25">
      <c r="A860" s="7"/>
    </row>
    <row r="861" spans="1:1" ht="15.75" customHeight="1" x14ac:dyDescent="0.25">
      <c r="A861" s="7"/>
    </row>
    <row r="862" spans="1:1" ht="15.75" customHeight="1" x14ac:dyDescent="0.25">
      <c r="A862" s="7"/>
    </row>
    <row r="863" spans="1:1" ht="15.75" customHeight="1" x14ac:dyDescent="0.25">
      <c r="A863" s="7"/>
    </row>
    <row r="864" spans="1:1" ht="15.75" customHeight="1" x14ac:dyDescent="0.25">
      <c r="A864" s="7"/>
    </row>
    <row r="865" spans="1:1" ht="15.75" customHeight="1" x14ac:dyDescent="0.25">
      <c r="A865" s="7"/>
    </row>
    <row r="866" spans="1:1" ht="15.75" customHeight="1" x14ac:dyDescent="0.25">
      <c r="A866" s="7"/>
    </row>
    <row r="867" spans="1:1" ht="15.75" customHeight="1" x14ac:dyDescent="0.25">
      <c r="A867" s="7"/>
    </row>
    <row r="868" spans="1:1" ht="15.75" customHeight="1" x14ac:dyDescent="0.25">
      <c r="A868" s="7"/>
    </row>
    <row r="869" spans="1:1" ht="15.75" customHeight="1" x14ac:dyDescent="0.25">
      <c r="A869" s="7"/>
    </row>
    <row r="870" spans="1:1" ht="15.75" customHeight="1" x14ac:dyDescent="0.25">
      <c r="A870" s="7"/>
    </row>
    <row r="871" spans="1:1" ht="15.75" customHeight="1" x14ac:dyDescent="0.25">
      <c r="A871" s="7"/>
    </row>
    <row r="872" spans="1:1" ht="15.75" customHeight="1" x14ac:dyDescent="0.25">
      <c r="A872" s="7"/>
    </row>
    <row r="873" spans="1:1" ht="15.75" customHeight="1" x14ac:dyDescent="0.25">
      <c r="A873" s="7"/>
    </row>
    <row r="874" spans="1:1" ht="15.75" customHeight="1" x14ac:dyDescent="0.25">
      <c r="A874" s="7"/>
    </row>
    <row r="875" spans="1:1" ht="15.75" customHeight="1" x14ac:dyDescent="0.25">
      <c r="A875" s="7"/>
    </row>
    <row r="876" spans="1:1" ht="15.75" customHeight="1" x14ac:dyDescent="0.25">
      <c r="A876" s="7"/>
    </row>
    <row r="877" spans="1:1" ht="15.75" customHeight="1" x14ac:dyDescent="0.25">
      <c r="A877" s="7"/>
    </row>
    <row r="878" spans="1:1" ht="15.75" customHeight="1" x14ac:dyDescent="0.25">
      <c r="A878" s="7"/>
    </row>
    <row r="879" spans="1:1" ht="15.75" customHeight="1" x14ac:dyDescent="0.25">
      <c r="A879" s="7"/>
    </row>
    <row r="880" spans="1:1" ht="15.75" customHeight="1" x14ac:dyDescent="0.25">
      <c r="A880" s="7"/>
    </row>
    <row r="881" spans="1:1" ht="15.75" customHeight="1" x14ac:dyDescent="0.25">
      <c r="A881" s="7"/>
    </row>
    <row r="882" spans="1:1" ht="15.75" customHeight="1" x14ac:dyDescent="0.25">
      <c r="A882" s="7"/>
    </row>
    <row r="883" spans="1:1" ht="15.75" customHeight="1" x14ac:dyDescent="0.25">
      <c r="A883" s="7"/>
    </row>
    <row r="884" spans="1:1" ht="15.75" customHeight="1" x14ac:dyDescent="0.25">
      <c r="A884" s="7"/>
    </row>
    <row r="885" spans="1:1" ht="15.75" customHeight="1" x14ac:dyDescent="0.25">
      <c r="A885" s="7"/>
    </row>
    <row r="886" spans="1:1" ht="15.75" customHeight="1" x14ac:dyDescent="0.25">
      <c r="A886" s="7"/>
    </row>
    <row r="887" spans="1:1" ht="15.75" customHeight="1" x14ac:dyDescent="0.25">
      <c r="A887" s="7"/>
    </row>
    <row r="888" spans="1:1" ht="15.75" customHeight="1" x14ac:dyDescent="0.25">
      <c r="A888" s="7"/>
    </row>
    <row r="889" spans="1:1" ht="15.75" customHeight="1" x14ac:dyDescent="0.25">
      <c r="A889" s="7"/>
    </row>
    <row r="890" spans="1:1" ht="15.75" customHeight="1" x14ac:dyDescent="0.25">
      <c r="A890" s="7"/>
    </row>
    <row r="891" spans="1:1" ht="15.75" customHeight="1" x14ac:dyDescent="0.25">
      <c r="A891" s="7"/>
    </row>
    <row r="892" spans="1:1" ht="15.75" customHeight="1" x14ac:dyDescent="0.25">
      <c r="A892" s="7"/>
    </row>
    <row r="893" spans="1:1" ht="15.75" customHeight="1" x14ac:dyDescent="0.25">
      <c r="A893" s="7"/>
    </row>
    <row r="894" spans="1:1" ht="15.75" customHeight="1" x14ac:dyDescent="0.25">
      <c r="A894" s="7"/>
    </row>
    <row r="895" spans="1:1" ht="15.75" customHeight="1" x14ac:dyDescent="0.25">
      <c r="A895" s="7"/>
    </row>
    <row r="896" spans="1:1" ht="15.75" customHeight="1" x14ac:dyDescent="0.25">
      <c r="A896" s="7"/>
    </row>
    <row r="897" spans="1:1" ht="15.75" customHeight="1" x14ac:dyDescent="0.25">
      <c r="A897" s="7"/>
    </row>
    <row r="898" spans="1:1" ht="15.75" customHeight="1" x14ac:dyDescent="0.25">
      <c r="A898" s="7"/>
    </row>
    <row r="899" spans="1:1" ht="15.75" customHeight="1" x14ac:dyDescent="0.25">
      <c r="A899" s="7"/>
    </row>
    <row r="900" spans="1:1" ht="15.75" customHeight="1" x14ac:dyDescent="0.25">
      <c r="A900" s="7"/>
    </row>
    <row r="901" spans="1:1" ht="15.75" customHeight="1" x14ac:dyDescent="0.25">
      <c r="A901" s="7"/>
    </row>
    <row r="902" spans="1:1" ht="15.75" customHeight="1" x14ac:dyDescent="0.25">
      <c r="A902" s="7"/>
    </row>
    <row r="903" spans="1:1" ht="15.75" customHeight="1" x14ac:dyDescent="0.25">
      <c r="A903" s="7"/>
    </row>
    <row r="904" spans="1:1" ht="15.75" customHeight="1" x14ac:dyDescent="0.25">
      <c r="A904" s="7"/>
    </row>
    <row r="905" spans="1:1" ht="15.75" customHeight="1" x14ac:dyDescent="0.25">
      <c r="A905" s="7"/>
    </row>
    <row r="906" spans="1:1" ht="15.75" customHeight="1" x14ac:dyDescent="0.25">
      <c r="A906" s="7"/>
    </row>
    <row r="907" spans="1:1" ht="15.75" customHeight="1" x14ac:dyDescent="0.25">
      <c r="A907" s="7"/>
    </row>
    <row r="908" spans="1:1" ht="15.75" customHeight="1" x14ac:dyDescent="0.25">
      <c r="A908" s="7"/>
    </row>
    <row r="909" spans="1:1" ht="15.75" customHeight="1" x14ac:dyDescent="0.25">
      <c r="A909" s="7"/>
    </row>
    <row r="910" spans="1:1" ht="15.75" customHeight="1" x14ac:dyDescent="0.25">
      <c r="A910" s="7"/>
    </row>
    <row r="911" spans="1:1" ht="15.75" customHeight="1" x14ac:dyDescent="0.25">
      <c r="A911" s="7"/>
    </row>
    <row r="912" spans="1:1" ht="15.75" customHeight="1" x14ac:dyDescent="0.25">
      <c r="A912" s="7"/>
    </row>
    <row r="913" spans="1:1" ht="15.75" customHeight="1" x14ac:dyDescent="0.25">
      <c r="A913" s="7"/>
    </row>
    <row r="914" spans="1:1" ht="15.75" customHeight="1" x14ac:dyDescent="0.25">
      <c r="A914" s="7"/>
    </row>
    <row r="915" spans="1:1" ht="15.75" customHeight="1" x14ac:dyDescent="0.25">
      <c r="A915" s="7"/>
    </row>
    <row r="916" spans="1:1" ht="15.75" customHeight="1" x14ac:dyDescent="0.25">
      <c r="A916" s="7"/>
    </row>
    <row r="917" spans="1:1" ht="15.75" customHeight="1" x14ac:dyDescent="0.25">
      <c r="A917" s="7"/>
    </row>
    <row r="918" spans="1:1" ht="15.75" customHeight="1" x14ac:dyDescent="0.25">
      <c r="A918" s="7"/>
    </row>
    <row r="919" spans="1:1" ht="15.75" customHeight="1" x14ac:dyDescent="0.25">
      <c r="A919" s="7"/>
    </row>
    <row r="920" spans="1:1" ht="15.75" customHeight="1" x14ac:dyDescent="0.25">
      <c r="A920" s="7"/>
    </row>
    <row r="921" spans="1:1" ht="15.75" customHeight="1" x14ac:dyDescent="0.25">
      <c r="A921" s="7"/>
    </row>
    <row r="922" spans="1:1" ht="15.75" customHeight="1" x14ac:dyDescent="0.25">
      <c r="A922" s="7"/>
    </row>
    <row r="923" spans="1:1" ht="15.75" customHeight="1" x14ac:dyDescent="0.25">
      <c r="A923" s="7"/>
    </row>
    <row r="924" spans="1:1" ht="15.75" customHeight="1" x14ac:dyDescent="0.25">
      <c r="A924" s="7"/>
    </row>
    <row r="925" spans="1:1" ht="15.75" customHeight="1" x14ac:dyDescent="0.25">
      <c r="A925" s="7"/>
    </row>
    <row r="926" spans="1:1" ht="15.75" customHeight="1" x14ac:dyDescent="0.25">
      <c r="A926" s="7"/>
    </row>
    <row r="927" spans="1:1" ht="15.75" customHeight="1" x14ac:dyDescent="0.25">
      <c r="A927" s="7"/>
    </row>
    <row r="928" spans="1:1" ht="15.75" customHeight="1" x14ac:dyDescent="0.25">
      <c r="A928" s="7"/>
    </row>
    <row r="929" spans="1:1" ht="15.75" customHeight="1" x14ac:dyDescent="0.25">
      <c r="A929" s="7"/>
    </row>
    <row r="930" spans="1:1" ht="15.75" customHeight="1" x14ac:dyDescent="0.25">
      <c r="A930" s="7"/>
    </row>
    <row r="931" spans="1:1" ht="15.75" customHeight="1" x14ac:dyDescent="0.25">
      <c r="A931" s="7"/>
    </row>
    <row r="932" spans="1:1" ht="15.75" customHeight="1" x14ac:dyDescent="0.25">
      <c r="A932" s="7"/>
    </row>
    <row r="933" spans="1:1" ht="15.75" customHeight="1" x14ac:dyDescent="0.25">
      <c r="A933" s="7"/>
    </row>
    <row r="934" spans="1:1" ht="15.75" customHeight="1" x14ac:dyDescent="0.25">
      <c r="A934" s="7"/>
    </row>
    <row r="935" spans="1:1" ht="15.75" customHeight="1" x14ac:dyDescent="0.25">
      <c r="A935" s="7"/>
    </row>
    <row r="936" spans="1:1" ht="15.75" customHeight="1" x14ac:dyDescent="0.25">
      <c r="A936" s="7"/>
    </row>
    <row r="937" spans="1:1" ht="15.75" customHeight="1" x14ac:dyDescent="0.25">
      <c r="A937" s="7"/>
    </row>
    <row r="938" spans="1:1" ht="15.75" customHeight="1" x14ac:dyDescent="0.25">
      <c r="A938" s="7"/>
    </row>
    <row r="939" spans="1:1" ht="15.75" customHeight="1" x14ac:dyDescent="0.25">
      <c r="A939" s="7"/>
    </row>
    <row r="940" spans="1:1" ht="15.75" customHeight="1" x14ac:dyDescent="0.25">
      <c r="A940" s="7"/>
    </row>
    <row r="941" spans="1:1" ht="15.75" customHeight="1" x14ac:dyDescent="0.25">
      <c r="A941" s="7"/>
    </row>
    <row r="942" spans="1:1" ht="15.75" customHeight="1" x14ac:dyDescent="0.25">
      <c r="A942" s="7"/>
    </row>
    <row r="943" spans="1:1" ht="15.75" customHeight="1" x14ac:dyDescent="0.25">
      <c r="A943" s="7"/>
    </row>
    <row r="944" spans="1:1" ht="15.75" customHeight="1" x14ac:dyDescent="0.25">
      <c r="A944" s="7"/>
    </row>
    <row r="945" spans="1:1" ht="15.75" customHeight="1" x14ac:dyDescent="0.25">
      <c r="A945" s="7"/>
    </row>
    <row r="946" spans="1:1" ht="15.75" customHeight="1" x14ac:dyDescent="0.25">
      <c r="A946" s="7"/>
    </row>
    <row r="947" spans="1:1" ht="15.75" customHeight="1" x14ac:dyDescent="0.25">
      <c r="A947" s="7"/>
    </row>
    <row r="948" spans="1:1" ht="15.75" customHeight="1" x14ac:dyDescent="0.25">
      <c r="A948" s="7"/>
    </row>
    <row r="949" spans="1:1" ht="15.75" customHeight="1" x14ac:dyDescent="0.25">
      <c r="A949" s="7"/>
    </row>
    <row r="950" spans="1:1" ht="15.75" customHeight="1" x14ac:dyDescent="0.25">
      <c r="A950" s="7"/>
    </row>
    <row r="951" spans="1:1" ht="15.75" customHeight="1" x14ac:dyDescent="0.25">
      <c r="A951" s="7"/>
    </row>
    <row r="952" spans="1:1" ht="15.75" customHeight="1" x14ac:dyDescent="0.25">
      <c r="A952" s="7"/>
    </row>
    <row r="953" spans="1:1" ht="15.75" customHeight="1" x14ac:dyDescent="0.25">
      <c r="A953" s="7"/>
    </row>
    <row r="954" spans="1:1" ht="15.75" customHeight="1" x14ac:dyDescent="0.25">
      <c r="A954" s="7"/>
    </row>
    <row r="955" spans="1:1" ht="15.75" customHeight="1" x14ac:dyDescent="0.25">
      <c r="A955" s="7"/>
    </row>
    <row r="956" spans="1:1" ht="15.75" customHeight="1" x14ac:dyDescent="0.25">
      <c r="A956" s="7"/>
    </row>
    <row r="957" spans="1:1" ht="15.75" customHeight="1" x14ac:dyDescent="0.25">
      <c r="A957" s="7"/>
    </row>
    <row r="958" spans="1:1" ht="15.75" customHeight="1" x14ac:dyDescent="0.25">
      <c r="A958" s="7"/>
    </row>
    <row r="959" spans="1:1" ht="15.75" customHeight="1" x14ac:dyDescent="0.25">
      <c r="A959" s="7"/>
    </row>
    <row r="960" spans="1:1" ht="15.75" customHeight="1" x14ac:dyDescent="0.25">
      <c r="A960" s="7"/>
    </row>
    <row r="961" spans="1:1" ht="15.75" customHeight="1" x14ac:dyDescent="0.25">
      <c r="A961" s="7"/>
    </row>
    <row r="962" spans="1:1" ht="15.75" customHeight="1" x14ac:dyDescent="0.25">
      <c r="A962" s="7"/>
    </row>
    <row r="963" spans="1:1" ht="15.75" customHeight="1" x14ac:dyDescent="0.25">
      <c r="A963" s="7"/>
    </row>
    <row r="964" spans="1:1" ht="15.75" customHeight="1" x14ac:dyDescent="0.25">
      <c r="A964" s="7"/>
    </row>
    <row r="965" spans="1:1" ht="15.75" customHeight="1" x14ac:dyDescent="0.25">
      <c r="A965" s="7"/>
    </row>
    <row r="966" spans="1:1" ht="15.75" customHeight="1" x14ac:dyDescent="0.25">
      <c r="A966" s="7"/>
    </row>
    <row r="967" spans="1:1" ht="15.75" customHeight="1" x14ac:dyDescent="0.25">
      <c r="A967" s="7"/>
    </row>
    <row r="968" spans="1:1" ht="15.75" customHeight="1" x14ac:dyDescent="0.25">
      <c r="A968" s="7"/>
    </row>
    <row r="969" spans="1:1" ht="15.75" customHeight="1" x14ac:dyDescent="0.25">
      <c r="A969" s="7"/>
    </row>
    <row r="970" spans="1:1" ht="15.75" customHeight="1" x14ac:dyDescent="0.25">
      <c r="A970" s="7"/>
    </row>
    <row r="971" spans="1:1" ht="15.75" customHeight="1" x14ac:dyDescent="0.25">
      <c r="A971" s="7"/>
    </row>
    <row r="972" spans="1:1" ht="15.75" customHeight="1" x14ac:dyDescent="0.25">
      <c r="A972" s="7"/>
    </row>
    <row r="973" spans="1:1" ht="15.75" customHeight="1" x14ac:dyDescent="0.25">
      <c r="A973" s="7"/>
    </row>
    <row r="974" spans="1:1" ht="15.75" customHeight="1" x14ac:dyDescent="0.25">
      <c r="A974" s="7"/>
    </row>
    <row r="975" spans="1:1" ht="15.75" customHeight="1" x14ac:dyDescent="0.25">
      <c r="A975" s="7"/>
    </row>
    <row r="976" spans="1:1" ht="15.75" customHeight="1" x14ac:dyDescent="0.25">
      <c r="A976" s="7"/>
    </row>
    <row r="977" spans="1:1" ht="15.75" customHeight="1" x14ac:dyDescent="0.25">
      <c r="A977" s="7"/>
    </row>
    <row r="978" spans="1:1" ht="15.75" customHeight="1" x14ac:dyDescent="0.25">
      <c r="A978" s="7"/>
    </row>
    <row r="979" spans="1:1" ht="15.75" customHeight="1" x14ac:dyDescent="0.25">
      <c r="A979" s="7"/>
    </row>
    <row r="980" spans="1:1" ht="15.75" customHeight="1" x14ac:dyDescent="0.25">
      <c r="A980" s="7"/>
    </row>
    <row r="981" spans="1:1" ht="15.75" customHeight="1" x14ac:dyDescent="0.25">
      <c r="A981" s="7"/>
    </row>
    <row r="982" spans="1:1" ht="15.75" customHeight="1" x14ac:dyDescent="0.25">
      <c r="A982" s="7"/>
    </row>
    <row r="983" spans="1:1" ht="15.75" customHeight="1" x14ac:dyDescent="0.25">
      <c r="A983" s="7"/>
    </row>
    <row r="984" spans="1:1" ht="15.75" customHeight="1" x14ac:dyDescent="0.25">
      <c r="A984" s="7"/>
    </row>
    <row r="985" spans="1:1" ht="15.75" customHeight="1" x14ac:dyDescent="0.25">
      <c r="A985" s="7"/>
    </row>
    <row r="986" spans="1:1" ht="15.75" customHeight="1" x14ac:dyDescent="0.25">
      <c r="A986" s="7"/>
    </row>
    <row r="987" spans="1:1" ht="15.75" customHeight="1" x14ac:dyDescent="0.25">
      <c r="A987" s="7"/>
    </row>
    <row r="988" spans="1:1" ht="15.75" customHeight="1" x14ac:dyDescent="0.25">
      <c r="A988" s="7"/>
    </row>
    <row r="989" spans="1:1" ht="15.75" customHeight="1" x14ac:dyDescent="0.25">
      <c r="A989" s="7"/>
    </row>
    <row r="990" spans="1:1" ht="15.75" customHeight="1" x14ac:dyDescent="0.25">
      <c r="A990" s="7"/>
    </row>
    <row r="991" spans="1:1" ht="15.75" customHeight="1" x14ac:dyDescent="0.25">
      <c r="A991" s="7"/>
    </row>
    <row r="992" spans="1:1" ht="15.75" customHeight="1" x14ac:dyDescent="0.25">
      <c r="A992" s="7"/>
    </row>
    <row r="993" spans="1:1" ht="15.75" customHeight="1" x14ac:dyDescent="0.25">
      <c r="A993" s="7"/>
    </row>
    <row r="994" spans="1:1" ht="15.75" customHeight="1" x14ac:dyDescent="0.25">
      <c r="A994" s="7"/>
    </row>
    <row r="995" spans="1:1" ht="15.75" customHeight="1" x14ac:dyDescent="0.25">
      <c r="A995" s="7"/>
    </row>
    <row r="996" spans="1:1" ht="15.75" customHeight="1" x14ac:dyDescent="0.25">
      <c r="A996" s="7"/>
    </row>
    <row r="997" spans="1:1" ht="15.75" customHeight="1" x14ac:dyDescent="0.25">
      <c r="A997" s="7"/>
    </row>
    <row r="998" spans="1:1" ht="15.75" customHeight="1" x14ac:dyDescent="0.25">
      <c r="A998" s="7"/>
    </row>
    <row r="999" spans="1:1" ht="15.75" customHeight="1" x14ac:dyDescent="0.25">
      <c r="A999" s="7"/>
    </row>
    <row r="1000" spans="1:1" ht="15.75" customHeight="1" x14ac:dyDescent="0.25">
      <c r="A1000" s="7"/>
    </row>
  </sheetData>
  <sheetProtection algorithmName="SHA-512" hashValue="Ndp3Z06QgvCtjFheZUMto6JUP8xfA2drY0IsnYjn/UU1TJ9si6rqGpp1ietkrnX0C/BIq4tuzFyLV6FSz3JbIQ==" saltValue="A5OpGh2x7a+PgWwJjVvjmQ==" spinCount="100000" sheet="1" objects="1" scenarios="1"/>
  <mergeCells count="6">
    <mergeCell ref="B132:H132"/>
    <mergeCell ref="B1:H1"/>
    <mergeCell ref="B27:H27"/>
    <mergeCell ref="B54:H54"/>
    <mergeCell ref="B72:H72"/>
    <mergeCell ref="B109:H109"/>
  </mergeCells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42</vt:i4>
      </vt:variant>
    </vt:vector>
  </HeadingPairs>
  <TitlesOfParts>
    <vt:vector size="51" baseType="lpstr">
      <vt:lpstr>Information - wk 4 &amp; 5</vt:lpstr>
      <vt:lpstr>Nutrition Plan</vt:lpstr>
      <vt:lpstr>FOOD SHEET 1</vt:lpstr>
      <vt:lpstr>FOOD SHEET 2</vt:lpstr>
      <vt:lpstr>FOOD SHEET 3</vt:lpstr>
      <vt:lpstr>FOOD SHEET 4</vt:lpstr>
      <vt:lpstr>FOOD SHEET 5</vt:lpstr>
      <vt:lpstr>FOOD SHEET 6</vt:lpstr>
      <vt:lpstr>FOOD SHEET 7</vt:lpstr>
      <vt:lpstr>'FOOD SHEET 2'!Breads_Cereals_Rice_Potatoes_and_Others</vt:lpstr>
      <vt:lpstr>'FOOD SHEET 3'!Breads_Cereals_Rice_Potatoes_and_Others</vt:lpstr>
      <vt:lpstr>'FOOD SHEET 4'!Breads_Cereals_Rice_Potatoes_and_Others</vt:lpstr>
      <vt:lpstr>'FOOD SHEET 5'!Breads_Cereals_Rice_Potatoes_and_Others</vt:lpstr>
      <vt:lpstr>'FOOD SHEET 6'!Breads_Cereals_Rice_Potatoes_and_Others</vt:lpstr>
      <vt:lpstr>'FOOD SHEET 7'!Breads_Cereals_Rice_Potatoes_and_Others</vt:lpstr>
      <vt:lpstr>Breads_Cereals_Rice_Potatoes_and_Others</vt:lpstr>
      <vt:lpstr>'FOOD SHEET 2'!Eggs_and_Dairy</vt:lpstr>
      <vt:lpstr>'FOOD SHEET 3'!Eggs_and_Dairy</vt:lpstr>
      <vt:lpstr>'FOOD SHEET 4'!Eggs_and_Dairy</vt:lpstr>
      <vt:lpstr>'FOOD SHEET 5'!Eggs_and_Dairy</vt:lpstr>
      <vt:lpstr>'FOOD SHEET 6'!Eggs_and_Dairy</vt:lpstr>
      <vt:lpstr>'FOOD SHEET 7'!Eggs_and_Dairy</vt:lpstr>
      <vt:lpstr>Eggs_and_Dairy</vt:lpstr>
      <vt:lpstr>'FOOD SHEET 2'!Fruit_and_Vegetables</vt:lpstr>
      <vt:lpstr>'FOOD SHEET 3'!Fruit_and_Vegetables</vt:lpstr>
      <vt:lpstr>'FOOD SHEET 4'!Fruit_and_Vegetables</vt:lpstr>
      <vt:lpstr>'FOOD SHEET 5'!Fruit_and_Vegetables</vt:lpstr>
      <vt:lpstr>'FOOD SHEET 6'!Fruit_and_Vegetables</vt:lpstr>
      <vt:lpstr>'FOOD SHEET 7'!Fruit_and_Vegetables</vt:lpstr>
      <vt:lpstr>Fruit_and_Vegetables</vt:lpstr>
      <vt:lpstr>'FOOD SHEET 2'!Meats_and_Fish</vt:lpstr>
      <vt:lpstr>'FOOD SHEET 3'!Meats_and_Fish</vt:lpstr>
      <vt:lpstr>'FOOD SHEET 4'!Meats_and_Fish</vt:lpstr>
      <vt:lpstr>'FOOD SHEET 5'!Meats_and_Fish</vt:lpstr>
      <vt:lpstr>'FOOD SHEET 6'!Meats_and_Fish</vt:lpstr>
      <vt:lpstr>'FOOD SHEET 7'!Meats_and_Fish</vt:lpstr>
      <vt:lpstr>Meats_and_Fish</vt:lpstr>
      <vt:lpstr>'FOOD SHEET 2'!Protein_Powders_and_Bars</vt:lpstr>
      <vt:lpstr>'FOOD SHEET 3'!Protein_Powders_and_Bars</vt:lpstr>
      <vt:lpstr>'FOOD SHEET 4'!Protein_Powders_and_Bars</vt:lpstr>
      <vt:lpstr>'FOOD SHEET 5'!Protein_Powders_and_Bars</vt:lpstr>
      <vt:lpstr>'FOOD SHEET 6'!Protein_Powders_and_Bars</vt:lpstr>
      <vt:lpstr>'FOOD SHEET 7'!Protein_Powders_and_Bars</vt:lpstr>
      <vt:lpstr>Protein_Powders_and_Bars</vt:lpstr>
      <vt:lpstr>'FOOD SHEET 2'!Seed_Nuts_Nut_Butters_and_Oils</vt:lpstr>
      <vt:lpstr>'FOOD SHEET 3'!Seed_Nuts_Nut_Butters_and_Oils</vt:lpstr>
      <vt:lpstr>'FOOD SHEET 4'!Seed_Nuts_Nut_Butters_and_Oils</vt:lpstr>
      <vt:lpstr>'FOOD SHEET 5'!Seed_Nuts_Nut_Butters_and_Oils</vt:lpstr>
      <vt:lpstr>'FOOD SHEET 6'!Seed_Nuts_Nut_Butters_and_Oils</vt:lpstr>
      <vt:lpstr>'FOOD SHEET 7'!Seed_Nuts_Nut_Butters_and_Oils</vt:lpstr>
      <vt:lpstr>Seed_Nuts_Nut_Butters_and_Oils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Russo, Vincent</dc:creator>
  <cp:lastModifiedBy>Russo, Vincent</cp:lastModifiedBy>
  <dcterms:created xsi:type="dcterms:W3CDTF">2019-05-16T23:19:29Z</dcterms:created>
  <dcterms:modified xsi:type="dcterms:W3CDTF">2020-03-22T23:01:09Z</dcterms:modified>
</cp:coreProperties>
</file>